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4836F096-3B4E-4621-9635-065DEA9B9248}" xr6:coauthVersionLast="43" xr6:coauthVersionMax="43" xr10:uidLastSave="{00000000-0000-0000-0000-000000000000}"/>
  <bookViews>
    <workbookView xWindow="-120" yWindow="-120" windowWidth="29040" windowHeight="15840" activeTab="11"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18" l="1"/>
  <c r="G15" i="63"/>
  <c r="H15" i="63"/>
  <c r="G14" i="63" l="1"/>
  <c r="H14" i="63"/>
  <c r="J43" i="63"/>
  <c r="K43" i="63" s="1"/>
  <c r="L43" i="63" s="1"/>
  <c r="F41" i="18"/>
  <c r="B150" i="18"/>
  <c r="E60" i="18"/>
  <c r="G13" i="63"/>
  <c r="H13" i="63"/>
  <c r="G12" i="63"/>
  <c r="H12" i="63"/>
  <c r="G11" i="63"/>
  <c r="H11" i="63"/>
  <c r="B148" i="18"/>
  <c r="M43" i="63" l="1"/>
  <c r="N43" i="63" s="1"/>
  <c r="O43" i="63" s="1"/>
  <c r="H10" i="63"/>
  <c r="G10" i="63"/>
  <c r="D11" i="18"/>
  <c r="J42" i="63"/>
  <c r="K42" i="63" s="1"/>
  <c r="L42" i="63" s="1"/>
  <c r="I2" i="63"/>
  <c r="H2" i="63"/>
  <c r="G2" i="63"/>
  <c r="H9" i="63"/>
  <c r="G9" i="63"/>
  <c r="Q43" i="63" l="1"/>
  <c r="S43" i="63" s="1"/>
  <c r="P43" i="63"/>
  <c r="M42" i="63"/>
  <c r="N42" i="63" s="1"/>
  <c r="O42" i="63" s="1"/>
  <c r="J2" i="63"/>
  <c r="K2" i="63" s="1"/>
  <c r="H8" i="63"/>
  <c r="G8" i="63"/>
  <c r="H7" i="63"/>
  <c r="G7" i="63"/>
  <c r="I1" i="63"/>
  <c r="H1" i="63"/>
  <c r="G1" i="63"/>
  <c r="P42" i="63" l="1"/>
  <c r="Q42" i="63"/>
  <c r="S42" i="63" s="1"/>
  <c r="J1" i="63"/>
  <c r="K1" i="63" s="1"/>
  <c r="J41" i="63"/>
  <c r="K41" i="63" s="1"/>
  <c r="L41" i="63" s="1"/>
  <c r="J40" i="63"/>
  <c r="K40" i="63" s="1"/>
  <c r="L40" i="63" s="1"/>
  <c r="M41" i="63" l="1"/>
  <c r="N41" i="63" s="1"/>
  <c r="O41" i="63" s="1"/>
  <c r="M40" i="63"/>
  <c r="N40" i="63" s="1"/>
  <c r="O40" i="63" s="1"/>
  <c r="R504" i="18"/>
  <c r="B155" i="18"/>
  <c r="Q41" i="63" l="1"/>
  <c r="S41" i="63" s="1"/>
  <c r="P41" i="63"/>
  <c r="Q40" i="63"/>
  <c r="S40" i="63" s="1"/>
  <c r="P40" i="63"/>
  <c r="R503" i="18"/>
  <c r="P3" i="63" l="1"/>
  <c r="O23" i="63" s="1"/>
  <c r="I15" i="63" s="1"/>
  <c r="J15" i="63" s="1"/>
  <c r="K15" i="63" s="1"/>
  <c r="F6" i="18"/>
  <c r="F45" i="18"/>
  <c r="F31" i="18"/>
  <c r="F30" i="18"/>
  <c r="F23" i="18"/>
  <c r="F22" i="18"/>
  <c r="F15" i="18"/>
  <c r="F14" i="18"/>
  <c r="F5" i="18"/>
  <c r="I13" i="63" l="1"/>
  <c r="J13" i="63" s="1"/>
  <c r="K13" i="63" s="1"/>
  <c r="I14" i="63"/>
  <c r="J14" i="63" s="1"/>
  <c r="K14" i="63" s="1"/>
  <c r="I11" i="63"/>
  <c r="J11" i="63" s="1"/>
  <c r="K11" i="63" s="1"/>
  <c r="I12" i="63"/>
  <c r="J12" i="63" s="1"/>
  <c r="K12" i="63" s="1"/>
  <c r="I9" i="63"/>
  <c r="J9" i="63" s="1"/>
  <c r="K9" i="63" s="1"/>
  <c r="I10" i="63"/>
  <c r="J10" i="63" s="1"/>
  <c r="K10" i="63" s="1"/>
  <c r="I7" i="63"/>
  <c r="J7" i="63" s="1"/>
  <c r="K7" i="63" s="1"/>
  <c r="I8" i="63"/>
  <c r="J8" i="63" s="1"/>
  <c r="K8" i="63" s="1"/>
  <c r="F55" i="18"/>
  <c r="J39" i="63"/>
  <c r="I34" i="63"/>
  <c r="H34" i="63"/>
  <c r="G34" i="63"/>
  <c r="B151" i="18"/>
  <c r="D40" i="18"/>
  <c r="D41" i="18" s="1"/>
  <c r="B41" i="18" s="1"/>
  <c r="H11" i="18" l="1"/>
  <c r="K39" i="63"/>
  <c r="L39" i="63" s="1"/>
  <c r="J34" i="63"/>
  <c r="K34" i="63" s="1"/>
  <c r="C151" i="18"/>
  <c r="D42" i="18"/>
  <c r="B42" i="18" s="1"/>
  <c r="B40" i="18"/>
  <c r="M39" i="63" l="1"/>
  <c r="N39" i="63" s="1"/>
  <c r="O39" i="63" s="1"/>
  <c r="J44" i="63"/>
  <c r="K44" i="63" s="1"/>
  <c r="L44" i="63" s="1"/>
  <c r="M44" i="63" s="1"/>
  <c r="T23" i="63"/>
  <c r="Q39" i="63" l="1"/>
  <c r="S39" i="63" s="1"/>
  <c r="P39" i="63"/>
  <c r="N44" i="63"/>
  <c r="O44" i="63" s="1"/>
  <c r="F10" i="60"/>
  <c r="Q44" i="63" l="1"/>
  <c r="S44" i="63" s="1"/>
  <c r="P44" i="63"/>
  <c r="B156" i="18" l="1"/>
  <c r="H38" i="18" l="1"/>
  <c r="H37" i="18"/>
  <c r="B157" i="18" l="1"/>
  <c r="C5" i="60" l="1"/>
  <c r="F42" i="60"/>
  <c r="D42" i="60"/>
  <c r="B146" i="18" l="1"/>
  <c r="V34" i="80"/>
  <c r="T34" i="80"/>
  <c r="T27" i="80"/>
  <c r="T28" i="80"/>
  <c r="T29" i="80"/>
  <c r="T30" i="80"/>
  <c r="T31" i="80"/>
  <c r="T32" i="80"/>
  <c r="D43" i="18" l="1"/>
  <c r="D49" i="18" l="1"/>
  <c r="D46" i="18"/>
  <c r="D16" i="18"/>
  <c r="B16" i="18" s="1"/>
  <c r="D47" i="18"/>
  <c r="D48" i="18"/>
  <c r="B48" i="18" s="1"/>
  <c r="D31" i="18"/>
  <c r="D23" i="18"/>
  <c r="D32" i="18"/>
  <c r="B32" i="18" s="1"/>
  <c r="B46" i="18" l="1"/>
  <c r="C155" i="18"/>
  <c r="C157" i="18"/>
  <c r="D50" i="18"/>
  <c r="D51" i="18" l="1"/>
  <c r="B51" i="18" s="1"/>
  <c r="AB20" i="63"/>
  <c r="AB21" i="63" s="1"/>
  <c r="C150" i="18"/>
  <c r="R502" i="18" l="1"/>
  <c r="R501" i="18"/>
  <c r="B152" i="18" l="1"/>
  <c r="J36" i="80"/>
  <c r="B154" i="18" l="1"/>
  <c r="T24" i="63" l="1"/>
  <c r="W166" i="63"/>
  <c r="W167" i="63" s="1"/>
  <c r="V166" i="63"/>
  <c r="V167" i="63" s="1"/>
  <c r="H36" i="80" l="1"/>
  <c r="G36" i="80"/>
  <c r="I36" i="80"/>
  <c r="K36" i="80"/>
  <c r="Y21" i="63" l="1"/>
  <c r="X20" i="63"/>
  <c r="W20" i="63" s="1"/>
  <c r="W21" i="63" s="1"/>
  <c r="R500" i="18" l="1"/>
  <c r="P513" i="18"/>
  <c r="T166" i="63" l="1"/>
  <c r="T167" i="63" s="1"/>
  <c r="U167" i="63"/>
  <c r="B158" i="18"/>
  <c r="J45" i="63"/>
  <c r="K45" i="63" s="1"/>
  <c r="L45" i="63" s="1"/>
  <c r="M45" i="63" l="1"/>
  <c r="N45" i="63" s="1"/>
  <c r="O45" i="63" s="1"/>
  <c r="B153" i="18"/>
  <c r="B36" i="80"/>
  <c r="P45" i="63" l="1"/>
  <c r="Q45" i="63"/>
  <c r="S45"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46" i="63"/>
  <c r="K46" i="63" s="1"/>
  <c r="L46" i="63" s="1"/>
  <c r="M46"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46" i="63"/>
  <c r="O46"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46" i="63"/>
  <c r="Q46" i="63"/>
  <c r="S46" i="63" s="1"/>
  <c r="R499" i="18"/>
  <c r="C158" i="18" l="1"/>
  <c r="B149" i="18"/>
  <c r="B147" i="18"/>
  <c r="S20" i="63"/>
  <c r="R498" i="18" l="1"/>
  <c r="R497" i="18"/>
  <c r="R496" i="18" l="1"/>
  <c r="S26" i="63"/>
  <c r="S27" i="63"/>
  <c r="D29" i="18" l="1"/>
  <c r="B29" i="18" s="1"/>
  <c r="E29" i="80"/>
  <c r="E28" i="80"/>
  <c r="S49" i="63" l="1"/>
  <c r="E20" i="80"/>
  <c r="F20" i="80" s="1"/>
  <c r="C156" i="18" l="1"/>
  <c r="B23" i="18"/>
  <c r="D45" i="18"/>
  <c r="B45" i="18" s="1"/>
  <c r="B49" i="18"/>
  <c r="D6" i="18"/>
  <c r="B6" i="18" s="1"/>
  <c r="D15" i="18"/>
  <c r="B15" i="18" s="1"/>
  <c r="C152" i="18"/>
  <c r="D14" i="18"/>
  <c r="B14" i="18" s="1"/>
  <c r="D5" i="18"/>
  <c r="B5" i="18" s="1"/>
  <c r="B31" i="18"/>
  <c r="D22" i="18"/>
  <c r="B22" i="18" s="1"/>
  <c r="D30" i="18"/>
  <c r="B30" i="18" s="1"/>
  <c r="D44" i="18"/>
  <c r="D13" i="18"/>
  <c r="B13" i="18" s="1"/>
  <c r="D21" i="18"/>
  <c r="B43" i="18"/>
  <c r="D4" i="18"/>
  <c r="B4" i="18" s="1"/>
  <c r="B50" i="18"/>
  <c r="R495" i="18"/>
  <c r="C153" i="18" l="1"/>
  <c r="B21" i="18"/>
  <c r="B47" i="18"/>
  <c r="B44" i="18"/>
  <c r="C154" i="18"/>
  <c r="R494" i="18"/>
  <c r="L21" i="80"/>
  <c r="L22" i="80" s="1"/>
  <c r="L23" i="80" s="1"/>
  <c r="R493" i="18" l="1"/>
  <c r="E27" i="80"/>
  <c r="R492" i="18" l="1"/>
  <c r="E26" i="80"/>
  <c r="E25" i="80"/>
  <c r="E24" i="80"/>
  <c r="E23" i="80" l="1"/>
  <c r="E22" i="80"/>
  <c r="R491" i="18" l="1"/>
  <c r="E21" i="80"/>
  <c r="F21" i="80" s="1"/>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C5" i="80"/>
  <c r="E5" i="80" s="1"/>
  <c r="C6" i="80"/>
  <c r="C7" i="80"/>
  <c r="G7" i="80" s="1"/>
  <c r="C8" i="80"/>
  <c r="C9" i="80"/>
  <c r="C10" i="80"/>
  <c r="S10" i="80" s="1"/>
  <c r="C11" i="80"/>
  <c r="G11" i="80" s="1"/>
  <c r="C12" i="80"/>
  <c r="C2" i="80"/>
  <c r="E9" i="80" l="1"/>
  <c r="S6" i="80"/>
  <c r="U4" i="80"/>
  <c r="U2" i="80"/>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B52"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T33" i="63"/>
  <c r="T32" i="63"/>
  <c r="R485" i="18" l="1"/>
  <c r="N78" i="18" l="1"/>
  <c r="F60" i="18"/>
  <c r="D60" i="18"/>
  <c r="R484" i="18"/>
  <c r="R483" i="18"/>
  <c r="R482" i="18"/>
  <c r="R481" i="18" l="1"/>
  <c r="N508" i="18" l="1"/>
  <c r="R480" i="18"/>
  <c r="R479" i="18" l="1"/>
  <c r="R478" i="18" l="1"/>
  <c r="E63" i="18" l="1"/>
  <c r="F63" i="18"/>
  <c r="G52" i="10"/>
  <c r="G51" i="10"/>
  <c r="H319" i="18" l="1"/>
  <c r="R477" i="18"/>
  <c r="R476" i="18" l="1"/>
  <c r="R475" i="18" l="1"/>
  <c r="R474" i="18" l="1"/>
  <c r="D63" i="18"/>
  <c r="R473" i="18" l="1"/>
  <c r="R472" i="18" l="1"/>
  <c r="D12" i="18"/>
  <c r="C149" i="18" s="1"/>
  <c r="B12" i="18" l="1"/>
  <c r="J57" i="18" l="1"/>
  <c r="R471" i="18" l="1"/>
  <c r="R470" i="18" l="1"/>
  <c r="G77" i="63" l="1"/>
  <c r="H77" i="63"/>
  <c r="I77" i="63"/>
  <c r="G78" i="63"/>
  <c r="H78" i="63"/>
  <c r="I78" i="63"/>
  <c r="H76" i="63"/>
  <c r="I76" i="63"/>
  <c r="G76" i="63"/>
  <c r="I75" i="63"/>
  <c r="G75" i="63"/>
  <c r="H75" i="63"/>
  <c r="J76" i="63" l="1"/>
  <c r="K76" i="63" s="1"/>
  <c r="J75" i="63"/>
  <c r="K75" i="63" s="1"/>
  <c r="J78" i="63"/>
  <c r="K78" i="63" s="1"/>
  <c r="J77" i="63"/>
  <c r="K77" i="63" s="1"/>
  <c r="R467" i="18"/>
  <c r="R461" i="18"/>
  <c r="K9" i="18"/>
  <c r="K10" i="18" s="1"/>
  <c r="H10" i="18"/>
  <c r="H9" i="18"/>
  <c r="R455" i="18"/>
  <c r="R454" i="18"/>
  <c r="R469" i="18" l="1"/>
  <c r="R468" i="18" l="1"/>
  <c r="I72" i="63"/>
  <c r="G72" i="63"/>
  <c r="H72" i="63"/>
  <c r="J72" i="63" l="1"/>
  <c r="K72" i="63" s="1"/>
  <c r="I74" i="63"/>
  <c r="G74" i="63" l="1"/>
  <c r="H74" i="63"/>
  <c r="J74" i="63" s="1"/>
  <c r="K74" i="63" s="1"/>
  <c r="I73" i="63"/>
  <c r="G73" i="63"/>
  <c r="H73" i="63"/>
  <c r="G69" i="63"/>
  <c r="H69" i="63"/>
  <c r="I69" i="63"/>
  <c r="I71" i="63"/>
  <c r="H71" i="63"/>
  <c r="G71" i="63"/>
  <c r="I68" i="63"/>
  <c r="J69" i="63" l="1"/>
  <c r="K69" i="63" s="1"/>
  <c r="J73" i="63"/>
  <c r="K73" i="63" s="1"/>
  <c r="J71" i="63"/>
  <c r="K71" i="63" s="1"/>
  <c r="G68" i="63" l="1"/>
  <c r="H68" i="63"/>
  <c r="J68" i="63" s="1"/>
  <c r="K68" i="63" s="1"/>
  <c r="I66" i="63"/>
  <c r="H66" i="63"/>
  <c r="G66" i="63"/>
  <c r="I63" i="63"/>
  <c r="H63" i="63"/>
  <c r="G63" i="63"/>
  <c r="I64" i="63"/>
  <c r="I67" i="63"/>
  <c r="I70" i="63"/>
  <c r="H64" i="63"/>
  <c r="H67" i="63"/>
  <c r="G64" i="63"/>
  <c r="G67" i="63"/>
  <c r="G70" i="63"/>
  <c r="H70" i="63"/>
  <c r="I65" i="63"/>
  <c r="I58" i="63"/>
  <c r="I79" i="63"/>
  <c r="G79" i="63"/>
  <c r="I62" i="63"/>
  <c r="G62" i="63"/>
  <c r="H62" i="63"/>
  <c r="J63" i="63" l="1"/>
  <c r="K63" i="63" s="1"/>
  <c r="J64" i="63"/>
  <c r="K64" i="63" s="1"/>
  <c r="J66" i="63"/>
  <c r="K66" i="63" s="1"/>
  <c r="J70" i="63"/>
  <c r="K70" i="63" s="1"/>
  <c r="J67" i="63"/>
  <c r="K67" i="63" s="1"/>
  <c r="J62" i="63"/>
  <c r="K62" i="63" s="1"/>
  <c r="I61" i="63"/>
  <c r="R466" i="18"/>
  <c r="G60" i="63" l="1"/>
  <c r="H60" i="63"/>
  <c r="I60" i="63"/>
  <c r="G61" i="63"/>
  <c r="H61" i="63"/>
  <c r="G65" i="63"/>
  <c r="H65" i="63"/>
  <c r="H79" i="63"/>
  <c r="I59" i="63"/>
  <c r="H59" i="63"/>
  <c r="G59" i="63"/>
  <c r="H58" i="63"/>
  <c r="G58" i="63"/>
  <c r="J79" i="63" l="1"/>
  <c r="K79" i="63" s="1"/>
  <c r="J60" i="63"/>
  <c r="K60" i="63" s="1"/>
  <c r="J58" i="63"/>
  <c r="K58" i="63" s="1"/>
  <c r="J65" i="63"/>
  <c r="K65" i="63" s="1"/>
  <c r="J59" i="63"/>
  <c r="K59" i="63" s="1"/>
  <c r="J61" i="63"/>
  <c r="K61" i="63" s="1"/>
  <c r="R465" i="18"/>
  <c r="I5" i="60"/>
  <c r="G5" i="60"/>
  <c r="R464" i="18" l="1"/>
  <c r="R463" i="18"/>
  <c r="D39"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29" i="63"/>
  <c r="D16" i="73" l="1"/>
  <c r="F16" i="73"/>
  <c r="R462" i="18"/>
  <c r="D38" i="18" l="1"/>
  <c r="C148" i="18" s="1"/>
  <c r="D37" i="18"/>
  <c r="C147" i="18" s="1"/>
  <c r="D36" i="18"/>
  <c r="H14" i="18" l="1"/>
  <c r="H15" i="18"/>
  <c r="D64" i="18"/>
  <c r="C146" i="18"/>
  <c r="F64" i="18"/>
  <c r="E64" i="18"/>
  <c r="D20" i="18"/>
  <c r="R460" i="18"/>
  <c r="C160" i="18" l="1"/>
  <c r="D148" i="18" s="1"/>
  <c r="V24" i="63"/>
  <c r="R459" i="18"/>
  <c r="D157" i="18" l="1"/>
  <c r="D151" i="18"/>
  <c r="D146" i="18"/>
  <c r="D156" i="18"/>
  <c r="D160" i="18"/>
  <c r="D158" i="18"/>
  <c r="D150" i="18"/>
  <c r="D152" i="18"/>
  <c r="D153" i="18"/>
  <c r="D154" i="18"/>
  <c r="D149" i="18"/>
  <c r="D147" i="18"/>
  <c r="C13" i="71"/>
  <c r="G82" i="63" l="1"/>
  <c r="H82" i="63"/>
  <c r="I82" i="63"/>
  <c r="G85" i="63"/>
  <c r="H85" i="63"/>
  <c r="I85" i="63"/>
  <c r="J85" i="63" l="1"/>
  <c r="K85" i="63" s="1"/>
  <c r="J82" i="63"/>
  <c r="K82" i="63" s="1"/>
  <c r="R458" i="18"/>
  <c r="R457" i="18" l="1"/>
  <c r="I4" i="60" l="1"/>
  <c r="I3" i="60"/>
  <c r="B11" i="18" l="1"/>
  <c r="I18" i="60"/>
  <c r="G55" i="63" l="1"/>
  <c r="I55" i="63"/>
  <c r="H55" i="63"/>
  <c r="J55" i="63" l="1"/>
  <c r="K55"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33"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24" i="18" l="1"/>
  <c r="B24"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D10" i="18" l="1"/>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10" i="63"/>
  <c r="I111" i="63"/>
  <c r="G111" i="63"/>
  <c r="H111" i="63"/>
  <c r="G110" i="63"/>
  <c r="H110" i="63"/>
  <c r="J111" i="63" l="1"/>
  <c r="K111" i="63" s="1"/>
  <c r="J110" i="63"/>
  <c r="K110"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09" i="63"/>
  <c r="H109" i="63"/>
  <c r="I107" i="63"/>
  <c r="I108" i="63"/>
  <c r="I109" i="63"/>
  <c r="I113" i="63"/>
  <c r="J113" i="63" s="1"/>
  <c r="K113" i="63" s="1"/>
  <c r="G108" i="63"/>
  <c r="H108" i="63"/>
  <c r="D9" i="18"/>
  <c r="J109" i="63" l="1"/>
  <c r="K109" i="63" s="1"/>
  <c r="J108" i="63"/>
  <c r="K108" i="63" s="1"/>
  <c r="I106" i="63"/>
  <c r="G107" i="63"/>
  <c r="H107" i="63"/>
  <c r="I104" i="63"/>
  <c r="I105" i="63"/>
  <c r="G106" i="63"/>
  <c r="H106" i="63"/>
  <c r="J107" i="63" l="1"/>
  <c r="K107" i="63" s="1"/>
  <c r="J106" i="63"/>
  <c r="K106" i="63" s="1"/>
  <c r="R435" i="18" l="1"/>
  <c r="H104" i="63"/>
  <c r="H105" i="63"/>
  <c r="G105" i="63"/>
  <c r="J105" i="63" l="1"/>
  <c r="K105" i="63" s="1"/>
  <c r="J104" i="63"/>
  <c r="K104"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87" i="63" l="1"/>
  <c r="H87" i="63"/>
  <c r="I87" i="63"/>
  <c r="G88" i="63"/>
  <c r="H88" i="63"/>
  <c r="I88" i="63"/>
  <c r="G89" i="63"/>
  <c r="H89" i="63"/>
  <c r="I89" i="63"/>
  <c r="G90" i="63"/>
  <c r="H90" i="63"/>
  <c r="I90" i="63"/>
  <c r="G91" i="63"/>
  <c r="H91" i="63"/>
  <c r="I91" i="63"/>
  <c r="G92" i="63"/>
  <c r="H92" i="63"/>
  <c r="I92" i="63"/>
  <c r="G93" i="63"/>
  <c r="H93" i="63"/>
  <c r="I93" i="63"/>
  <c r="G94" i="63"/>
  <c r="H94" i="63"/>
  <c r="I94" i="63"/>
  <c r="G95" i="63"/>
  <c r="H95" i="63"/>
  <c r="I95" i="63"/>
  <c r="G96" i="63"/>
  <c r="H96" i="63"/>
  <c r="I96" i="63"/>
  <c r="G97" i="63"/>
  <c r="H97" i="63"/>
  <c r="I97" i="63"/>
  <c r="G98" i="63"/>
  <c r="H98" i="63"/>
  <c r="I98" i="63"/>
  <c r="G99" i="63"/>
  <c r="H99" i="63"/>
  <c r="I99" i="63"/>
  <c r="G100" i="63"/>
  <c r="H100" i="63"/>
  <c r="I100" i="63"/>
  <c r="G101" i="63"/>
  <c r="H101" i="63"/>
  <c r="I101" i="63"/>
  <c r="G102" i="63"/>
  <c r="H102" i="63"/>
  <c r="I102" i="63"/>
  <c r="G103" i="63"/>
  <c r="H103" i="63"/>
  <c r="I103" i="63"/>
  <c r="G104" i="63"/>
  <c r="J97" i="63" l="1"/>
  <c r="K97" i="63" s="1"/>
  <c r="J96" i="63"/>
  <c r="K96" i="63" s="1"/>
  <c r="J91" i="63"/>
  <c r="K91" i="63" s="1"/>
  <c r="J90" i="63"/>
  <c r="K90" i="63" s="1"/>
  <c r="J87" i="63"/>
  <c r="K87" i="63" s="1"/>
  <c r="J99" i="63"/>
  <c r="K99" i="63" s="1"/>
  <c r="J98" i="63"/>
  <c r="K98" i="63" s="1"/>
  <c r="J93" i="63"/>
  <c r="K93" i="63" s="1"/>
  <c r="J92" i="63"/>
  <c r="K92" i="63" s="1"/>
  <c r="J100" i="63"/>
  <c r="K100" i="63" s="1"/>
  <c r="J95" i="63"/>
  <c r="K95" i="63" s="1"/>
  <c r="J94" i="63"/>
  <c r="K94" i="63" s="1"/>
  <c r="J89" i="63"/>
  <c r="K89" i="63" s="1"/>
  <c r="J101" i="63"/>
  <c r="K101" i="63" s="1"/>
  <c r="J103" i="63"/>
  <c r="K103" i="63" s="1"/>
  <c r="J102" i="63"/>
  <c r="K102" i="63" s="1"/>
  <c r="J88" i="63"/>
  <c r="K88" i="63" s="1"/>
  <c r="G86" i="63"/>
  <c r="H86" i="63"/>
  <c r="I86" i="63"/>
  <c r="J86" i="63" l="1"/>
  <c r="K86"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36"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28" i="18"/>
  <c r="D27" i="18"/>
  <c r="D134" i="72" l="1"/>
  <c r="E135" i="72"/>
  <c r="E134" i="72" l="1"/>
  <c r="D133" i="72"/>
  <c r="D132" i="72" l="1"/>
  <c r="E133" i="72"/>
  <c r="E132" i="72" l="1"/>
  <c r="D131" i="72"/>
  <c r="R384" i="18"/>
  <c r="E131" i="72" l="1"/>
  <c r="D130" i="72"/>
  <c r="S28"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10" i="18"/>
  <c r="B9" i="18"/>
  <c r="H4" i="18" l="1"/>
  <c r="E109" i="72"/>
  <c r="D108" i="72"/>
  <c r="E108" i="72" l="1"/>
  <c r="D107" i="72"/>
  <c r="R377" i="18"/>
  <c r="E107" i="72" l="1"/>
  <c r="D106" i="72"/>
  <c r="E106" i="72" l="1"/>
  <c r="D105" i="72"/>
  <c r="D104" i="72" l="1"/>
  <c r="E105" i="72"/>
  <c r="E104" i="72" l="1"/>
  <c r="D103" i="72"/>
  <c r="R376" i="18"/>
  <c r="R375" i="18"/>
  <c r="R374" i="18"/>
  <c r="E103" i="72" l="1"/>
  <c r="D102" i="72"/>
  <c r="E136" i="63"/>
  <c r="R373" i="18"/>
  <c r="D101" i="72" l="1"/>
  <c r="E102" i="72"/>
  <c r="R372" i="18"/>
  <c r="D100" i="72" l="1"/>
  <c r="E101" i="72"/>
  <c r="E100" i="72" l="1"/>
  <c r="D99" i="72"/>
  <c r="E99" i="72" l="1"/>
  <c r="D98" i="72"/>
  <c r="E98" i="72" l="1"/>
  <c r="D97" i="72"/>
  <c r="D135" i="63"/>
  <c r="E135" i="63"/>
  <c r="G135" i="63" s="1"/>
  <c r="D136" i="63"/>
  <c r="G136" i="63"/>
  <c r="D137" i="63"/>
  <c r="E137" i="63"/>
  <c r="G137" i="63" s="1"/>
  <c r="D138" i="63"/>
  <c r="E138" i="63"/>
  <c r="G138" i="63" s="1"/>
  <c r="D139" i="63"/>
  <c r="E139" i="63"/>
  <c r="G139" i="63" s="1"/>
  <c r="D140" i="63"/>
  <c r="E140" i="63"/>
  <c r="G140" i="63" s="1"/>
  <c r="D141" i="63"/>
  <c r="E141" i="63"/>
  <c r="G141" i="63" s="1"/>
  <c r="D142" i="63"/>
  <c r="E142" i="63"/>
  <c r="G142" i="63" s="1"/>
  <c r="D143" i="63"/>
  <c r="E143" i="63"/>
  <c r="G143" i="63" s="1"/>
  <c r="D144" i="63"/>
  <c r="E144" i="63"/>
  <c r="G144" i="63" s="1"/>
  <c r="D145" i="63"/>
  <c r="E145" i="63"/>
  <c r="G145" i="63" s="1"/>
  <c r="D146" i="63"/>
  <c r="E146" i="63"/>
  <c r="G146" i="63" s="1"/>
  <c r="D147" i="63"/>
  <c r="E147" i="63"/>
  <c r="G147" i="63" s="1"/>
  <c r="D148" i="63"/>
  <c r="E148" i="63"/>
  <c r="G148" i="63" s="1"/>
  <c r="D149" i="63"/>
  <c r="E149" i="63"/>
  <c r="G149" i="63" s="1"/>
  <c r="D150" i="63"/>
  <c r="E150" i="63"/>
  <c r="G150" i="63" s="1"/>
  <c r="D151" i="63"/>
  <c r="E151" i="63"/>
  <c r="G151" i="63" s="1"/>
  <c r="D152" i="63"/>
  <c r="E152" i="63"/>
  <c r="G152" i="63" s="1"/>
  <c r="D153" i="63"/>
  <c r="E153" i="63"/>
  <c r="D154" i="63"/>
  <c r="E154" i="63"/>
  <c r="D155" i="63"/>
  <c r="E155" i="63"/>
  <c r="D156" i="63"/>
  <c r="E156" i="63"/>
  <c r="E134" i="63"/>
  <c r="G134" i="63" s="1"/>
  <c r="D134"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33" i="18"/>
  <c r="B39"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9"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38"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28"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20"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53" i="18"/>
  <c r="B37"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9"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27" i="18"/>
  <c r="C57" i="18" s="1"/>
  <c r="E59" i="18" l="1"/>
  <c r="E41" i="18"/>
  <c r="E42" i="18"/>
  <c r="E40" i="18"/>
  <c r="E48" i="18"/>
  <c r="E46" i="18"/>
  <c r="E43" i="18"/>
  <c r="E49" i="18"/>
  <c r="E45" i="18"/>
  <c r="E44" i="18"/>
  <c r="E47" i="18"/>
  <c r="E39" i="18"/>
  <c r="H2" i="18"/>
  <c r="H17" i="18" s="1"/>
  <c r="J55" i="18"/>
  <c r="K55" i="18" s="1"/>
  <c r="AL515" i="18"/>
  <c r="AL516" i="18" s="1"/>
  <c r="AO94" i="18"/>
  <c r="AN93" i="18"/>
  <c r="AN311" i="18"/>
  <c r="AO312" i="18"/>
  <c r="O516" i="18" l="1"/>
  <c r="E16" i="18"/>
  <c r="E51" i="18"/>
  <c r="E32" i="18"/>
  <c r="E2" i="18"/>
  <c r="E8" i="18"/>
  <c r="E18" i="18"/>
  <c r="E35" i="18"/>
  <c r="E26" i="18"/>
  <c r="E29" i="18"/>
  <c r="E5" i="18"/>
  <c r="E6" i="18"/>
  <c r="E22" i="18"/>
  <c r="E21" i="18"/>
  <c r="E14" i="18"/>
  <c r="E23" i="18"/>
  <c r="E50" i="18"/>
  <c r="E30" i="18"/>
  <c r="E4" i="18"/>
  <c r="E13" i="18"/>
  <c r="E31" i="18"/>
  <c r="E15" i="18"/>
  <c r="E52" i="18"/>
  <c r="E12" i="18"/>
  <c r="E11" i="18"/>
  <c r="E24" i="18"/>
  <c r="E3" i="18"/>
  <c r="E36" i="18"/>
  <c r="E10" i="18"/>
  <c r="E9" i="18"/>
  <c r="E33" i="18"/>
  <c r="E38" i="18"/>
  <c r="E28" i="18"/>
  <c r="E20" i="18"/>
  <c r="E37" i="18"/>
  <c r="E53" i="18"/>
  <c r="E19" i="18"/>
  <c r="E27"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59" i="18" l="1"/>
  <c r="F59" i="18"/>
  <c r="F61" i="18" s="1"/>
  <c r="E1" i="18"/>
  <c r="D59" i="18"/>
  <c r="D62" i="18" s="1"/>
  <c r="E61" i="18"/>
  <c r="AL289" i="18"/>
  <c r="AL291" i="18"/>
  <c r="P529" i="18"/>
  <c r="Q529" i="18" s="1"/>
  <c r="D61" i="18" l="1"/>
  <c r="F62" i="18"/>
  <c r="E62"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<sst xmlns="http://schemas.openxmlformats.org/spreadsheetml/2006/main" count="17042" uniqueCount="7057">
  <si>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</si>
  <si>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</si>
  <si>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</si>
  <si>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</si>
  <si>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</si>
  <si>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</si>
  <si>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</si>
  <si>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</si>
  <si>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</si>
  <si>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</si>
  <si>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</si>
  <si>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</si>
  <si>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</si>
  <si>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</si>
  <si>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</si>
  <si>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</si>
  <si>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</si>
  <si>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</si>
  <si>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</si>
  <si>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</si>
  <si>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</si>
  <si>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</si>
  <si>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</si>
  <si>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</si>
  <si>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</si>
  <si>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</si>
  <si>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</si>
  <si>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</si>
  <si>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</si>
  <si>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</si>
  <si>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</si>
  <si>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</si>
  <si>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</si>
  <si>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</si>
  <si>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</si>
  <si>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</si>
  <si>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</si>
  <si>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</si>
  <si>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</si>
  <si>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</si>
  <si>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</si>
  <si>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</si>
  <si>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</si>
  <si>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</si>
  <si>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</si>
  <si>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</si>
  <si>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</si>
  <si>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</si>
  <si>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</si>
  <si>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</si>
  <si>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</si>
  <si>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</si>
  <si>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</si>
  <si>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</si>
  <si>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</si>
  <si>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</si>
  <si>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</si>
  <si>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</si>
  <si>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</si>
  <si>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</si>
  <si>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</si>
  <si>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</si>
  <si>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</si>
  <si>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</si>
  <si>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</si>
  <si>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</si>
  <si>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</si>
  <si>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</si>
  <si>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</si>
  <si>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</si>
  <si>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</si>
  <si>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</si>
  <si>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</si>
  <si>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</si>
  <si>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</si>
  <si>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</si>
  <si>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</si>
  <si>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</si>
  <si>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</si>
  <si>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</si>
  <si>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</si>
  <si>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</si>
  <si>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</si>
  <si>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</si>
  <si>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</si>
  <si>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</si>
  <si>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</si>
  <si>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</si>
  <si>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</si>
  <si>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</si>
  <si>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</si>
  <si>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</si>
  <si>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</si>
  <si>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</si>
  <si>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</si>
  <si>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</si>
  <si>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</si>
  <si>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</si>
  <si>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</si>
  <si>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</si>
  <si>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</si>
  <si>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</si>
  <si>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</si>
  <si>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</si>
  <si>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</si>
  <si>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</si>
  <si>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</si>
  <si>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</si>
  <si>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</si>
  <si>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</si>
  <si>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</si>
  <si>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</si>
  <si>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</si>
  <si>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</si>
  <si>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</si>
  <si>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</si>
  <si>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</si>
  <si>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</si>
  <si>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</si>
  <si>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</si>
  <si>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</si>
  <si>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</si>
  <si>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</si>
  <si>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</si>
  <si>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</si>
  <si>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</si>
  <si>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</si>
  <si>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</si>
  <si>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</si>
  <si>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</si>
  <si>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</si>
  <si>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</si>
  <si>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</si>
  <si>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</si>
  <si>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</si>
  <si>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</si>
  <si>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</si>
  <si>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</si>
  <si>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</si>
  <si>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</si>
  <si>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</si>
  <si>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</si>
  <si>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</si>
  <si>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</si>
  <si>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</si>
  <si>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</si>
  <si>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</si>
  <si>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</si>
  <si>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</si>
  <si>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</si>
  <si>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</si>
  <si>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</si>
  <si>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</si>
  <si>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</si>
  <si>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</si>
  <si>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</si>
  <si>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</si>
  <si>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</si>
  <si>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</si>
  <si>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</si>
  <si>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</si>
  <si>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</si>
  <si>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</si>
  <si>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</si>
  <si>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</si>
  <si>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</si>
  <si>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</si>
  <si>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</si>
  <si>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</si>
  <si>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</si>
  <si>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</si>
  <si>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</si>
  <si>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</si>
  <si>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</si>
  <si>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</si>
  <si>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</si>
  <si>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</si>
  <si>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</si>
  <si>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</si>
  <si>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</si>
  <si>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</si>
  <si>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</si>
  <si>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</si>
  <si>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</si>
  <si>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</si>
  <si>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</si>
  <si>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</si>
  <si>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</si>
  <si>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</si>
  <si>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</si>
  <si>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</si>
  <si>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</si>
  <si>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</si>
  <si>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</si>
  <si>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</si>
  <si>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</si>
  <si>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</si>
  <si>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</si>
  <si>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</si>
  <si>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</si>
  <si>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</si>
  <si>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</si>
  <si>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</si>
  <si>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</si>
  <si>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</si>
  <si>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</si>
  <si>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</si>
  <si>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</si>
  <si>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</si>
  <si>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</si>
  <si>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</si>
  <si>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</si>
  <si>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</si>
  <si>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</si>
  <si>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</si>
  <si>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</si>
  <si>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</si>
  <si>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</si>
  <si>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</si>
  <si>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</si>
  <si>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</si>
  <si>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</si>
  <si>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</si>
  <si>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</si>
  <si>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</si>
  <si>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</si>
  <si>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</si>
  <si>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</si>
  <si>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</si>
  <si>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</si>
  <si>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</si>
  <si>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</si>
  <si>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</si>
  <si>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</si>
  <si>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</si>
  <si>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</si>
  <si>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</si>
  <si>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</si>
  <si>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</si>
  <si>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</si>
  <si>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</si>
  <si>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</si>
  <si>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</si>
  <si>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</si>
  <si>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</si>
  <si>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</si>
  <si>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</si>
  <si>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</si>
  <si>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</si>
  <si>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</si>
  <si>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</si>
  <si>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</si>
  <si>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</si>
  <si>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</si>
  <si>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</si>
  <si>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</si>
  <si>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</si>
  <si>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</si>
  <si>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</si>
  <si>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</si>
  <si>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</si>
  <si>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</si>
  <si>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</si>
  <si>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</si>
  <si>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</si>
  <si>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</si>
  <si>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</si>
  <si>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</si>
  <si>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</si>
  <si>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</si>
  <si>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</si>
  <si>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</si>
  <si>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</si>
  <si>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</si>
  <si>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</si>
  <si>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</si>
  <si>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</si>
  <si>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</si>
  <si>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</si>
  <si>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</si>
  <si>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</si>
  <si>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</si>
  <si>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</si>
  <si>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</si>
  <si>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</si>
  <si>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</si>
  <si>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</si>
  <si>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</si>
  <si>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</si>
  <si>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</si>
  <si>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</si>
  <si>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</si>
  <si>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</si>
  <si>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</si>
  <si>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</si>
  <si>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</si>
  <si>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</si>
  <si>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</si>
  <si>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</si>
  <si>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</si>
  <si>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</si>
  <si>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</si>
  <si>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</si>
  <si>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</si>
  <si>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</si>
  <si>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</si>
  <si>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</si>
  <si>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</si>
  <si>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</si>
  <si>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</si>
  <si>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</si>
  <si>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</si>
  <si>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</si>
  <si>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</si>
  <si>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</si>
  <si>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</si>
  <si>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</si>
  <si>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</si>
  <si>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</si>
  <si>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</si>
  <si>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</si>
  <si>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</si>
  <si>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</si>
  <si>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</si>
  <si>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</si>
  <si>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</si>
  <si>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</si>
  <si>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</si>
  <si>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</si>
  <si>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</si>
  <si>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</si>
  <si>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</si>
  <si>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</si>
  <si>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</si>
  <si>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</si>
  <si>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</si>
  <si>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</si>
  <si>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</si>
  <si>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</si>
  <si>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</si>
  <si>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</si>
  <si>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</si>
  <si>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</si>
  <si>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</si>
  <si>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</si>
  <si>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</si>
  <si>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</si>
  <si>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</si>
  <si>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</si>
  <si>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</si>
  <si>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</si>
  <si>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</si>
  <si>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</si>
  <si>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</si>
  <si>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</si>
  <si>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</si>
  <si>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</si>
  <si>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</si>
  <si>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</si>
  <si>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</si>
  <si>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</si>
  <si>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</si>
  <si>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</si>
  <si>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</si>
  <si>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</si>
  <si>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</si>
  <si>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</si>
  <si>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</si>
  <si>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</si>
  <si>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</si>
  <si>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</si>
  <si>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</si>
  <si>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</si>
  <si>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</si>
  <si>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</si>
  <si>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</si>
  <si>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</si>
  <si>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</si>
  <si>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</si>
  <si>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</si>
  <si>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</si>
  <si>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</si>
  <si>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</si>
  <si>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</si>
  <si>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</si>
  <si>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</si>
  <si>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</si>
  <si>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</si>
  <si>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</si>
  <si>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</si>
  <si>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</si>
  <si>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</si>
  <si>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</si>
  <si>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</si>
  <si>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</si>
  <si>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</si>
  <si>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</si>
  <si>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</si>
  <si>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</si>
  <si>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</si>
  <si>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</si>
  <si>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</si>
  <si>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</si>
  <si>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</si>
  <si>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</si>
  <si>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</si>
  <si>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</si>
  <si>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</si>
  <si>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</si>
  <si>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</si>
  <si>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</si>
  <si>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</si>
  <si>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</si>
  <si>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</si>
  <si>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</si>
  <si>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</si>
  <si>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</si>
  <si>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</si>
  <si>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</si>
  <si>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</si>
  <si>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</si>
  <si>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</si>
  <si>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</si>
  <si>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</si>
  <si>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</si>
  <si>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</si>
  <si>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</si>
  <si>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</si>
  <si>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</si>
  <si>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</si>
  <si>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</si>
  <si>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</si>
  <si>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</si>
  <si>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</si>
  <si>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</si>
  <si>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</si>
  <si>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</si>
  <si>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</si>
  <si>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</si>
  <si>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</si>
  <si>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</si>
  <si>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</si>
  <si>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</si>
  <si>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</si>
  <si>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</si>
  <si>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</si>
  <si>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</si>
  <si>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</si>
  <si>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</si>
  <si>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</si>
  <si>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</si>
  <si>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</si>
  <si>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</si>
  <si>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</si>
  <si>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</si>
  <si>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</si>
  <si>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</si>
  <si>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</si>
  <si>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</si>
  <si>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</si>
  <si>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</si>
  <si>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</si>
  <si>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</si>
  <si>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</si>
  <si>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</si>
  <si>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</si>
  <si>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</si>
  <si>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</si>
  <si>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</si>
  <si>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</si>
  <si>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</si>
  <si>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</si>
  <si>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</si>
  <si>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</si>
  <si>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</si>
  <si>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</si>
  <si>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</si>
  <si>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</si>
  <si>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</si>
  <si>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</si>
  <si>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</si>
  <si>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</si>
  <si>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</si>
  <si>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</si>
  <si>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</si>
  <si>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</si>
  <si>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</si>
  <si>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</si>
  <si>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</si>
  <si>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</si>
  <si>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</si>
  <si>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</si>
  <si>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</si>
  <si>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</si>
  <si>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</si>
  <si>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</si>
  <si>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</si>
  <si>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</si>
  <si>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</si>
  <si>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</si>
  <si>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</si>
  <si>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</si>
  <si>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</si>
  <si>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</si>
  <si>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</si>
  <si>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</si>
  <si>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</si>
  <si>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</si>
  <si>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</si>
  <si>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</si>
  <si>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</si>
  <si>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</si>
  <si>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</si>
  <si>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</si>
  <si>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</si>
  <si>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</si>
  <si>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</si>
  <si>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</si>
  <si>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</si>
  <si>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</si>
  <si>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</si>
  <si>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</si>
  <si>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</si>
  <si>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</si>
  <si>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</si>
  <si>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</si>
  <si>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</si>
  <si>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</si>
  <si>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</si>
  <si>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</si>
  <si>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</si>
  <si>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</si>
  <si>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</si>
  <si>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</si>
  <si>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</si>
  <si>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</si>
  <si>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</si>
  <si>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</si>
  <si>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</si>
  <si>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</si>
  <si>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</si>
  <si>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</si>
  <si>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</si>
  <si>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</si>
  <si>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</si>
  <si>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</si>
  <si>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</si>
  <si>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</si>
  <si>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</si>
  <si>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</si>
  <si>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</si>
  <si>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</si>
  <si>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</si>
  <si>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</si>
  <si>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</si>
  <si>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</si>
  <si>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</si>
  <si>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</si>
  <si>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</si>
  <si>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</si>
  <si>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</si>
  <si>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</si>
  <si>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</si>
  <si>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</si>
  <si>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</si>
  <si>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</si>
  <si>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</si>
  <si>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</si>
  <si>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</si>
  <si>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</si>
  <si>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</si>
  <si>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</si>
  <si>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</si>
  <si>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</si>
  <si>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</si>
  <si>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</si>
  <si>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</si>
  <si>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</si>
  <si>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</si>
  <si>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</si>
  <si>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</si>
  <si>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</si>
  <si>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</si>
  <si>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</si>
  <si>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</si>
  <si>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</si>
  <si>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</si>
  <si>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</si>
  <si>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</si>
  <si>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</si>
  <si>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</si>
  <si>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</si>
  <si>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</si>
  <si>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</si>
  <si>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</si>
  <si>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</si>
  <si>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</si>
  <si>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</si>
  <si>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</si>
  <si>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</si>
  <si>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</si>
  <si>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</si>
  <si>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</si>
  <si>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</si>
  <si>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</si>
  <si>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</si>
  <si>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</si>
  <si>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</si>
  <si>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</si>
  <si>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</si>
  <si>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</si>
  <si>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</si>
  <si>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</si>
  <si>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</si>
  <si>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</si>
  <si>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</si>
  <si>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</si>
  <si>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</si>
  <si>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</si>
  <si>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</si>
  <si>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</si>
  <si>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</si>
  <si>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</si>
  <si>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</si>
  <si>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</si>
  <si>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</si>
  <si>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</si>
  <si>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</si>
  <si>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</si>
  <si>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</si>
  <si>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</si>
  <si>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</si>
  <si>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</si>
  <si>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</si>
  <si>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</si>
  <si>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</si>
  <si>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</si>
  <si>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</si>
  <si>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</si>
  <si>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</si>
  <si>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</si>
  <si>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</si>
  <si>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</si>
  <si>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</si>
  <si>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</si>
  <si>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</si>
  <si>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</si>
  <si>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</si>
  <si>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</si>
  <si>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</si>
  <si>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</si>
  <si>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</si>
  <si>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</si>
  <si>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</si>
  <si>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</si>
  <si>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</si>
  <si>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</si>
  <si>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</si>
  <si>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</si>
  <si>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</si>
  <si>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</si>
  <si>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</si>
  <si>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</si>
  <si>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</si>
  <si>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</si>
  <si>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</si>
  <si>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</si>
  <si>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</si>
  <si>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</si>
  <si>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</si>
  <si>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</si>
  <si>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</si>
  <si>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</si>
  <si>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</si>
  <si>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</si>
  <si>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</si>
  <si>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</si>
  <si>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</si>
  <si>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</si>
  <si>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</si>
  <si>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</si>
  <si>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</si>
  <si>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</si>
  <si>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</si>
  <si>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</si>
  <si>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</si>
  <si>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</si>
  <si>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</si>
  <si>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</si>
  <si>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</si>
  <si>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</si>
  <si>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</si>
  <si>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</si>
  <si>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</si>
  <si>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</si>
  <si>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</si>
  <si>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</si>
  <si>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</si>
  <si>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</si>
  <si>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</si>
  <si>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</si>
  <si>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</si>
  <si>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</si>
  <si>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</si>
  <si>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</si>
  <si>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</si>
  <si>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</si>
  <si>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</si>
  <si>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</si>
  <si>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</si>
  <si>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</si>
  <si>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</si>
  <si>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</si>
  <si>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</si>
  <si>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</si>
  <si>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</si>
  <si>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</si>
  <si>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</si>
  <si>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</si>
  <si>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</si>
  <si>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</si>
  <si>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</si>
  <si>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</si>
  <si>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</si>
  <si>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</si>
  <si>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</si>
  <si>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</si>
  <si>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</si>
  <si>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</si>
  <si>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</si>
  <si>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</si>
  <si>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</si>
  <si>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</si>
  <si>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</si>
  <si>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</si>
  <si>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</si>
  <si>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</si>
  <si>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</si>
  <si>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</si>
  <si>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</si>
  <si>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</si>
  <si>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</si>
  <si>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</si>
  <si>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</si>
  <si>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</si>
  <si>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</si>
  <si>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</si>
  <si>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</si>
  <si>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</si>
  <si>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</si>
  <si>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</si>
  <si>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</si>
  <si>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</si>
  <si>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</si>
  <si>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</si>
  <si>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</si>
  <si>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</si>
  <si>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</si>
  <si>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</si>
  <si>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</si>
  <si>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</si>
  <si>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</si>
  <si>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</si>
  <si>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</si>
  <si>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</si>
  <si>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</si>
  <si>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</si>
  <si>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</si>
  <si>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</si>
  <si>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</si>
  <si>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</si>
  <si>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</si>
  <si>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</si>
  <si>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</si>
  <si>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</si>
  <si>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</si>
  <si>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</si>
  <si>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</si>
  <si>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</si>
  <si>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</si>
  <si>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</si>
  <si>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</si>
  <si>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</si>
  <si>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</si>
  <si>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</si>
  <si>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</si>
  <si>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</si>
  <si>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</si>
  <si>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</si>
  <si>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</si>
  <si>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</si>
  <si>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</si>
  <si>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</si>
  <si>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</si>
  <si>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</si>
  <si>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</si>
  <si>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</si>
  <si>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</si>
  <si>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</si>
  <si>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</si>
  <si>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</si>
  <si>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</si>
  <si>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</si>
  <si>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</si>
  <si>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</si>
  <si>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</si>
  <si>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</si>
  <si>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</si>
  <si>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</si>
  <si>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</si>
  <si>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</si>
  <si>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</si>
  <si>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</si>
  <si>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</si>
  <si>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</si>
  <si>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</si>
  <si>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</si>
  <si>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</si>
  <si>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</si>
  <si>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</si>
  <si>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</si>
  <si>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</si>
  <si>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</si>
  <si>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</si>
  <si>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</si>
  <si>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</si>
  <si>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</si>
  <si>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</si>
  <si>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</si>
  <si>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</si>
  <si>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</si>
  <si>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</si>
  <si>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</si>
  <si>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</si>
  <si>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</si>
  <si>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</si>
  <si>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</si>
  <si>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</si>
  <si>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</si>
  <si>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</si>
  <si>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</si>
  <si>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</si>
  <si>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</si>
  <si>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</si>
  <si>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</si>
  <si>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</si>
  <si>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</si>
  <si>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</si>
  <si>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</si>
  <si>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</si>
  <si>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</si>
  <si>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</si>
  <si>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</si>
  <si>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</si>
  <si>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</si>
  <si>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</si>
  <si>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</si>
  <si>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</si>
  <si>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</si>
  <si>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</si>
  <si>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</si>
  <si>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</si>
  <si>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</si>
  <si>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</si>
  <si>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</si>
  <si>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</si>
  <si>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</si>
  <si>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</si>
  <si>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</si>
  <si>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</si>
  <si>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</si>
  <si>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</si>
  <si>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</si>
  <si>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</si>
  <si>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</si>
  <si>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</si>
  <si>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</si>
  <si>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</si>
  <si>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</si>
  <si>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</si>
  <si>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</si>
  <si>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</si>
  <si>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</si>
  <si>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</si>
  <si>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</si>
  <si>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</si>
  <si>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</si>
  <si>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</si>
  <si>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</si>
  <si>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</si>
  <si>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</si>
  <si>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</si>
  <si>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</si>
  <si>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</si>
  <si>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</si>
  <si>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</si>
  <si>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</si>
  <si>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</si>
  <si>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</si>
  <si>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</si>
  <si>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</si>
  <si>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</si>
  <si>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</si>
  <si>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</si>
  <si>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</si>
  <si>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</si>
  <si>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</si>
  <si>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</si>
  <si>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</si>
  <si>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</si>
  <si>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</si>
  <si>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</si>
  <si>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</si>
  <si>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</si>
  <si>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</si>
  <si>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</si>
  <si>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</si>
  <si>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</si>
  <si>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</si>
  <si>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</si>
  <si>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</si>
  <si>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</si>
  <si>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</si>
  <si>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</si>
  <si>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</si>
  <si>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</si>
  <si>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</si>
  <si>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</si>
  <si>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</si>
  <si>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</si>
  <si>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</si>
  <si>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</si>
  <si>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</si>
  <si>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</si>
  <si>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</si>
  <si>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</si>
  <si>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</si>
  <si>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</si>
  <si>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</si>
  <si>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</si>
  <si>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</si>
  <si>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</si>
  <si>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</si>
  <si>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</si>
  <si>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</si>
  <si>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</si>
  <si>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</si>
  <si>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</si>
  <si>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</si>
  <si>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</si>
  <si>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</si>
  <si>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</si>
  <si>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</si>
  <si>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</si>
  <si>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</si>
  <si>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</si>
  <si>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</si>
  <si>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</si>
  <si>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</si>
  <si>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</si>
  <si>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</si>
  <si>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</si>
  <si>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</si>
  <si>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</si>
  <si>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</si>
  <si>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</si>
  <si>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</si>
  <si>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</si>
  <si>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</si>
  <si>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</si>
  <si>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</si>
  <si>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</si>
  <si>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</si>
  <si>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</si>
  <si>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</si>
  <si>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</si>
  <si>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</si>
  <si>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</si>
  <si>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</si>
  <si>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</si>
  <si>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</si>
  <si>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</si>
  <si>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</si>
  <si>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</si>
  <si>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</si>
  <si>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</si>
  <si>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</si>
  <si>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</si>
  <si>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</si>
  <si>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</si>
  <si>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</si>
  <si>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</si>
  <si>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</si>
  <si>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</si>
  <si>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</si>
  <si>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</si>
  <si>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</si>
  <si>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</si>
  <si>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</si>
  <si>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</si>
  <si>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</si>
  <si>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</si>
  <si>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</si>
  <si>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</si>
  <si>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</si>
  <si>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</si>
  <si>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</si>
  <si>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</si>
  <si>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</si>
  <si>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</si>
  <si>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</si>
  <si>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</si>
  <si>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</si>
  <si>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</si>
  <si>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</si>
  <si>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</si>
  <si>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</si>
  <si>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</si>
  <si>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</si>
  <si>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</si>
  <si>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</si>
  <si>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</si>
  <si>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</si>
  <si>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</si>
  <si>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</si>
  <si>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</si>
  <si>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</si>
  <si>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</si>
  <si>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</si>
  <si>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</si>
  <si>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</si>
  <si>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</si>
  <si>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</si>
  <si>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</si>
  <si>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</si>
  <si>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</si>
  <si>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</si>
  <si>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</si>
  <si>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</si>
  <si>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</si>
  <si>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</si>
  <si>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</si>
  <si>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</si>
  <si>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</si>
  <si>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</si>
  <si>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</si>
  <si>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</si>
  <si>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</si>
  <si>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</si>
  <si>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</si>
  <si>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</si>
  <si>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</si>
  <si>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</si>
  <si>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</si>
  <si>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</si>
  <si>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</si>
  <si>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</si>
  <si>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</si>
  <si>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</si>
  <si>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</si>
  <si>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</si>
  <si>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</si>
  <si>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</si>
  <si>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</si>
  <si>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</si>
  <si>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</si>
  <si>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</si>
  <si>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</si>
  <si>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</si>
  <si>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</si>
  <si>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</si>
  <si>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</si>
  <si>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</si>
  <si>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</si>
  <si>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</si>
  <si>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</si>
  <si>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</si>
  <si>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</si>
  <si>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</si>
  <si>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</si>
  <si>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</si>
  <si>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</si>
  <si>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</si>
  <si>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</si>
  <si>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</si>
  <si>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</si>
  <si>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</si>
  <si>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</si>
  <si>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</si>
  <si>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</si>
  <si>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</si>
  <si>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</si>
  <si>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</si>
  <si>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</si>
  <si>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</si>
  <si>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</si>
  <si>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</si>
  <si>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</si>
  <si>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</si>
  <si>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</si>
  <si>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</si>
  <si>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</si>
  <si>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</si>
  <si>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</si>
  <si>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</si>
  <si>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</si>
  <si>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</si>
  <si>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</si>
  <si>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</si>
  <si>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</si>
  <si>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</si>
  <si>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</si>
  <si>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</si>
  <si>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</si>
  <si>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</si>
  <si>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</si>
  <si>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</si>
  <si>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</si>
  <si>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</si>
  <si>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</si>
  <si>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</si>
  <si>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</si>
  <si>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</si>
  <si>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</si>
  <si>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</si>
  <si>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</si>
  <si>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</si>
  <si>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</si>
  <si>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</si>
  <si>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</si>
  <si>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</si>
  <si>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</si>
  <si>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</si>
  <si>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</si>
  <si>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</si>
  <si>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</si>
  <si>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</si>
  <si>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</si>
  <si>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</si>
  <si>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</si>
  <si>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</si>
  <si>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</si>
  <si>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</si>
  <si>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</si>
  <si>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</si>
  <si>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</si>
  <si>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</si>
  <si>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</si>
  <si>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</si>
  <si>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</si>
  <si>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</si>
  <si>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</si>
  <si>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</si>
  <si>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</si>
  <si>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</si>
  <si>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</si>
  <si>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</si>
  <si>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</si>
  <si>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</si>
  <si>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</si>
  <si>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</si>
  <si>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</si>
  <si>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</si>
  <si>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</si>
  <si>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</si>
  <si>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</si>
  <si>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</si>
  <si>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</si>
  <si>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</si>
  <si>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</si>
  <si>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</si>
  <si>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</si>
  <si>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</si>
  <si>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</si>
  <si>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</si>
  <si>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</si>
  <si>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</si>
  <si>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</si>
  <si>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</si>
  <si>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</si>
  <si>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</si>
  <si>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</si>
  <si>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</si>
  <si>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</si>
  <si>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</si>
  <si>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</si>
  <si>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</si>
  <si>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</si>
  <si>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</si>
  <si>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</si>
  <si>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</si>
  <si>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</si>
  <si>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</si>
  <si>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</si>
  <si>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</si>
  <si>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</si>
  <si>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</si>
  <si>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</si>
  <si>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</si>
  <si>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</si>
  <si>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</si>
  <si>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</si>
  <si>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</si>
  <si>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</si>
  <si>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</si>
  <si>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</si>
  <si>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</si>
  <si>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</si>
  <si>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</si>
  <si>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</si>
  <si>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</si>
  <si>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</si>
  <si>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</si>
  <si>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</si>
  <si>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</si>
  <si>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</si>
  <si>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</si>
  <si>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</si>
  <si>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</si>
  <si>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</si>
  <si>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</si>
  <si>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</si>
  <si>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</si>
  <si>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</si>
  <si>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</si>
  <si>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</si>
  <si>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</si>
  <si>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</si>
  <si>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</si>
  <si>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</si>
  <si>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</si>
  <si>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</si>
  <si>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</si>
  <si>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</si>
  <si>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</si>
  <si>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</si>
  <si>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</si>
  <si>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</si>
  <si>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</si>
  <si>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</si>
  <si>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</si>
  <si>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</si>
  <si>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</si>
  <si>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</si>
  <si>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</si>
  <si>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</si>
  <si>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</si>
  <si>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</si>
  <si>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</si>
  <si>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</si>
  <si>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</si>
  <si>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</si>
  <si>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</si>
  <si>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</si>
  <si>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</si>
  <si>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</si>
  <si>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</si>
  <si>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</si>
  <si>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</si>
  <si>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</si>
  <si>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</si>
  <si>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</si>
  <si>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</si>
  <si>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</si>
  <si>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</si>
  <si>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</si>
  <si>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</si>
  <si>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</si>
  <si>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</si>
  <si>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</si>
  <si>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</si>
  <si>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</si>
  <si>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</si>
  <si>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</si>
  <si>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</si>
  <si>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</si>
  <si>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</si>
  <si>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</si>
  <si>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</si>
  <si>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</si>
  <si>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</si>
  <si>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</si>
  <si>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</si>
  <si>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</si>
  <si>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</si>
  <si>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</si>
  <si>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</si>
  <si>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</si>
  <si>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</si>
  <si>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</si>
  <si>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</si>
  <si>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</si>
  <si>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</si>
  <si>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</si>
  <si>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</si>
  <si>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</si>
  <si>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</si>
  <si>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</si>
  <si>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</si>
  <si>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</si>
  <si>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</si>
  <si>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</si>
  <si>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</si>
  <si>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</si>
  <si>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</si>
  <si>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</si>
  <si>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</si>
  <si>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</si>
  <si>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</si>
  <si>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</si>
  <si>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</si>
  <si>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</si>
  <si>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</si>
  <si>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</si>
  <si>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</si>
  <si>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</si>
  <si>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</si>
  <si>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</si>
  <si>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</si>
  <si>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</si>
  <si>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</si>
  <si>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</si>
  <si>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</si>
  <si>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</si>
  <si>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</si>
  <si>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</si>
  <si>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</si>
  <si>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</si>
  <si>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</si>
  <si>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</si>
  <si>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</si>
  <si>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</si>
  <si>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</si>
  <si>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</si>
  <si>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</si>
  <si>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</si>
  <si>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</si>
  <si>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</si>
  <si>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</si>
  <si>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</si>
  <si>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</si>
  <si>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</si>
  <si>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</si>
  <si>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</si>
  <si>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</si>
  <si>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</si>
  <si>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</si>
  <si>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</si>
  <si>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</si>
  <si>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</si>
  <si>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</si>
  <si>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</si>
  <si>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</si>
  <si>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</si>
  <si>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</si>
  <si>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</si>
  <si>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</si>
  <si>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</si>
  <si>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</si>
  <si>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</si>
  <si>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</si>
  <si>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</si>
  <si>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</si>
  <si>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</si>
  <si>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</si>
  <si>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</si>
  <si>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</si>
  <si>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</si>
  <si>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</si>
  <si>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</si>
  <si>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</si>
  <si>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</si>
  <si>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</si>
  <si>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</si>
  <si>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</si>
  <si>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</si>
  <si>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</si>
  <si>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</si>
  <si>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</si>
  <si>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</si>
  <si>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</si>
  <si>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</si>
  <si>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</si>
  <si>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</si>
  <si>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</si>
  <si>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</si>
  <si>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</si>
  <si>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</si>
  <si>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</si>
  <si>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</si>
  <si>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</si>
  <si>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</si>
  <si>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</si>
  <si>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</si>
  <si>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</si>
  <si>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</si>
  <si>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</si>
  <si>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</si>
  <si>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</si>
  <si>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</si>
  <si>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</si>
  <si>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</si>
  <si>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</si>
  <si>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</si>
  <si>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</si>
  <si>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</si>
  <si>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</si>
  <si>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</si>
  <si>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</si>
  <si>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</si>
  <si>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</si>
  <si>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</si>
  <si>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</si>
  <si>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</si>
  <si>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</si>
  <si>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</si>
  <si>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</si>
  <si>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</si>
  <si>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</si>
  <si>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</si>
  <si>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</si>
  <si>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</si>
  <si>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</si>
  <si>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</si>
  <si>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</si>
  <si>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</si>
  <si>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</si>
  <si>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</si>
  <si>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</si>
  <si>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</si>
  <si>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</si>
  <si>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</si>
  <si>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</si>
  <si>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</si>
  <si>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</si>
  <si>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</si>
  <si>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</si>
  <si>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</si>
  <si>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</si>
  <si>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</si>
  <si>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</si>
  <si>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</si>
  <si>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</si>
  <si>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</si>
  <si>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</si>
  <si>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</si>
  <si>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</si>
  <si>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</si>
  <si>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</si>
  <si>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</si>
  <si>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</si>
  <si>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</si>
  <si>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</si>
  <si>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</si>
  <si>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</si>
  <si>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</si>
  <si>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</si>
  <si>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</si>
  <si>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</si>
  <si>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</si>
  <si>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</si>
  <si>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</si>
  <si>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</si>
  <si>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</si>
  <si>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</si>
  <si>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</si>
  <si>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</si>
  <si>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</si>
  <si>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</si>
  <si>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</si>
  <si>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</si>
  <si>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</si>
  <si>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</si>
  <si>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</si>
  <si>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</si>
  <si>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</si>
  <si>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</si>
  <si>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</si>
  <si>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</si>
  <si>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</si>
  <si>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</si>
  <si>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</si>
  <si>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</si>
  <si>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</si>
  <si>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</si>
  <si>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</si>
  <si>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</si>
  <si>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</si>
  <si>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</si>
  <si>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</si>
  <si>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</si>
  <si>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</si>
  <si>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</si>
  <si>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</si>
  <si>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</si>
  <si>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</si>
  <si>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</si>
  <si>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</si>
  <si>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</si>
  <si>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</si>
  <si>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</si>
  <si>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</si>
  <si>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</si>
  <si>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</si>
  <si>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</si>
  <si>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</si>
  <si>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</si>
  <si>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</si>
  <si>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</si>
  <si>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</si>
  <si>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</si>
  <si>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</si>
  <si>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</si>
  <si>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</si>
  <si>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</si>
  <si>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</si>
  <si>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</si>
  <si>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</si>
  <si>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</si>
  <si>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</si>
  <si>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</si>
  <si>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</si>
  <si>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</si>
  <si>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</si>
  <si>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</si>
  <si>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</si>
  <si>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</si>
  <si>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</si>
  <si>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</si>
  <si>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</si>
  <si>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</si>
  <si>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</si>
  <si>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</si>
  <si>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</si>
  <si>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</si>
  <si>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</si>
  <si>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</si>
  <si>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</si>
  <si>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</si>
  <si>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</si>
  <si>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</si>
  <si>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</si>
  <si>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</si>
  <si>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</si>
  <si>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</si>
  <si>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</si>
  <si>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</si>
  <si>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</si>
  <si>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</si>
  <si>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</si>
  <si>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</si>
  <si>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</si>
  <si>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</si>
  <si>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</si>
  <si>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</si>
  <si>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</si>
  <si>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</si>
  <si>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</si>
  <si>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</si>
  <si>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</si>
  <si>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</si>
  <si>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</si>
  <si>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</si>
  <si>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</si>
  <si>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</si>
  <si>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</si>
  <si>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</si>
  <si>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</si>
  <si>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</si>
  <si>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</si>
  <si>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</si>
  <si>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</si>
  <si>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</si>
  <si>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</si>
  <si>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</si>
  <si>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</si>
  <si>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</si>
  <si>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</si>
  <si>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</si>
  <si>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</si>
  <si>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</si>
  <si>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</si>
  <si>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</si>
  <si>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</si>
  <si>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</si>
  <si>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</si>
  <si>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</si>
  <si>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</si>
  <si>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</si>
  <si>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</si>
  <si>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</si>
  <si>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</si>
  <si>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</si>
  <si>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</si>
  <si>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</si>
  <si>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</si>
  <si>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</si>
  <si>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</si>
  <si>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</si>
  <si>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</si>
  <si>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</si>
  <si>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</si>
  <si>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</si>
  <si>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</si>
  <si>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</si>
  <si>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</si>
  <si>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</si>
  <si>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</si>
  <si>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</si>
  <si>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</si>
  <si>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</si>
  <si>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</si>
  <si>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</si>
  <si>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</si>
  <si>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</si>
  <si>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</si>
  <si>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</si>
  <si>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</si>
  <si>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</si>
  <si>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</si>
  <si>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</si>
  <si>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</si>
  <si>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</si>
  <si>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</si>
  <si>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</si>
  <si>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</si>
  <si>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</si>
  <si>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</si>
  <si>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</si>
  <si>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</si>
  <si>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</si>
  <si>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</si>
  <si>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</si>
  <si>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</si>
  <si>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</si>
  <si>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</si>
  <si>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</si>
  <si>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</si>
  <si>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</si>
  <si>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</si>
  <si>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</si>
  <si>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</si>
  <si>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</si>
  <si>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</si>
  <si>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</si>
  <si>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</si>
  <si>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</si>
  <si>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</si>
  <si>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</si>
  <si>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</si>
  <si>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</si>
  <si>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</si>
  <si>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</si>
  <si>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</si>
  <si>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</si>
  <si>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</si>
  <si>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</si>
  <si>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</si>
  <si>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</si>
  <si>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</si>
  <si>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</si>
  <si>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</si>
  <si>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</si>
  <si>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</si>
  <si>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</si>
  <si>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</si>
  <si>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</si>
  <si>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</si>
  <si>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</si>
  <si>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</si>
  <si>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</si>
  <si>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</si>
  <si>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</si>
  <si>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</si>
  <si>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</si>
  <si>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</si>
  <si>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</si>
  <si>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</si>
  <si>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</si>
  <si>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</si>
  <si>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</si>
  <si>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</si>
  <si>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</si>
  <si>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</si>
  <si>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</si>
  <si>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</si>
  <si>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</si>
  <si>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</si>
  <si>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</si>
  <si>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</si>
  <si>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</si>
  <si>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</si>
  <si>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</si>
  <si>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</si>
  <si>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</si>
  <si>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</si>
  <si>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</si>
  <si>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</si>
  <si>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</si>
  <si>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</si>
  <si>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</si>
  <si>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</si>
  <si>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</si>
  <si>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</si>
  <si>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</si>
  <si>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</si>
  <si>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</si>
  <si>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</si>
  <si>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</si>
  <si>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</si>
  <si>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</si>
  <si>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</si>
  <si>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</si>
  <si>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</si>
  <si>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</si>
  <si>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</si>
  <si>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</si>
  <si>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</si>
  <si>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</si>
  <si>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</si>
  <si>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</si>
  <si>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</si>
  <si>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</si>
  <si>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</si>
  <si>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</si>
  <si>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</si>
  <si>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</si>
  <si>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</si>
  <si>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</si>
  <si>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</si>
  <si>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</si>
  <si>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</si>
  <si>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</si>
  <si>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</si>
  <si>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</si>
  <si>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</si>
  <si>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</si>
  <si>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</si>
  <si>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</si>
  <si>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</si>
  <si>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</si>
  <si>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</si>
  <si>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</si>
  <si>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</si>
  <si>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</si>
  <si>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</si>
  <si>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</si>
  <si>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</si>
  <si>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</si>
  <si>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</si>
  <si>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</si>
  <si>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</si>
  <si>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</si>
  <si>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</si>
  <si>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</si>
  <si>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</si>
  <si>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</si>
  <si>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</si>
  <si>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</si>
  <si>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</si>
  <si>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</si>
  <si>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</si>
  <si>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</si>
  <si>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</si>
  <si>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</si>
  <si>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</si>
  <si>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</si>
  <si>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</si>
  <si>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</si>
  <si>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</si>
  <si>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</si>
  <si>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</si>
  <si>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</si>
  <si>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</si>
  <si>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</si>
  <si>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</si>
  <si>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</si>
  <si>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</si>
  <si>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</si>
  <si>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</si>
  <si>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</si>
  <si>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</si>
  <si>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</si>
  <si>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</si>
  <si>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</si>
  <si>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</si>
  <si>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</si>
  <si>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</si>
  <si>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</si>
  <si>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</si>
  <si>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</si>
  <si>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</si>
  <si>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</si>
  <si>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</si>
  <si>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</si>
  <si>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</si>
  <si>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</si>
  <si>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</si>
  <si>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</si>
  <si>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</si>
  <si>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</si>
  <si>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</si>
  <si>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</si>
  <si>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</si>
  <si>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</si>
  <si>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</si>
  <si>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</si>
  <si>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</si>
  <si>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</si>
  <si>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</si>
  <si>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</si>
  <si>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</si>
  <si>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</si>
  <si>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</si>
  <si>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</si>
  <si>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</si>
  <si>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</si>
  <si>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</si>
  <si>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</si>
  <si>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</si>
  <si>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</si>
  <si>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</si>
  <si>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</si>
  <si>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</si>
  <si>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</si>
  <si>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</si>
  <si>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</si>
  <si>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</si>
  <si>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</si>
  <si>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</si>
  <si>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</si>
  <si>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</si>
  <si>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</si>
  <si>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</si>
  <si>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</si>
  <si>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</si>
  <si>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</si>
  <si>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</si>
  <si>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</si>
  <si>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</si>
  <si>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</si>
  <si>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</si>
  <si>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</si>
  <si>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</si>
  <si>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</si>
  <si>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</si>
  <si>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</si>
  <si>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</si>
  <si>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</si>
  <si>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</si>
  <si>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</si>
  <si>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</si>
  <si>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</si>
  <si>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</si>
  <si>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</si>
  <si>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</si>
  <si>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</si>
  <si>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</si>
  <si>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</si>
  <si>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</si>
  <si>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</si>
  <si>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</si>
  <si>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</si>
  <si>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</si>
  <si>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</si>
  <si>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</si>
  <si>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</si>
  <si>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</si>
  <si>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</si>
  <si>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</si>
  <si>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</si>
  <si>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</si>
  <si>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</si>
  <si>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</si>
  <si>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</si>
  <si>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</si>
  <si>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</si>
  <si>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</si>
  <si>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</si>
  <si>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</si>
  <si>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</si>
  <si>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</si>
  <si>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</si>
  <si>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</si>
  <si>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</si>
  <si>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</si>
  <si>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</si>
  <si>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</si>
  <si>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</si>
  <si>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</si>
  <si>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</si>
  <si>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</si>
  <si>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</si>
  <si>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</si>
  <si>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</si>
  <si>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</si>
  <si>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</si>
  <si>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</si>
  <si>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</si>
  <si>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</si>
  <si>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</si>
  <si>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</si>
  <si>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</si>
  <si>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</si>
  <si>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</si>
  <si>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</si>
  <si>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</si>
  <si>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</si>
  <si>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</si>
  <si>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</si>
  <si>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</si>
  <si>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</si>
  <si>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</si>
  <si>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</si>
  <si>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</si>
  <si>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</si>
  <si>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</si>
  <si>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</si>
  <si>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</si>
  <si>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</si>
  <si>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</si>
  <si>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</si>
  <si>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</si>
  <si>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</si>
  <si>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</si>
  <si>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</si>
  <si>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</si>
  <si>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</si>
  <si>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</si>
  <si>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</si>
  <si>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</si>
  <si>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</si>
  <si>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</si>
  <si>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</si>
  <si>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</si>
  <si>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</si>
  <si>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</si>
  <si>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</si>
  <si>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</si>
  <si>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</si>
  <si>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</si>
  <si>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</si>
  <si>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</si>
  <si>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</si>
  <si>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</si>
  <si>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</si>
  <si>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</si>
  <si>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</si>
  <si>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</si>
  <si>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</si>
  <si>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</si>
  <si>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</si>
  <si>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</si>
  <si>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</si>
  <si>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</si>
  <si>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</si>
  <si>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</si>
  <si>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</si>
  <si>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</si>
  <si>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</si>
  <si>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</si>
  <si>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</si>
  <si>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</si>
  <si>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</si>
  <si>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</si>
  <si>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</si>
  <si>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</si>
  <si>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</si>
  <si>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</si>
  <si>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</si>
  <si>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</si>
  <si>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</si>
  <si>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</si>
  <si>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</si>
  <si>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</si>
  <si>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</si>
  <si>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</si>
  <si>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</si>
  <si>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</si>
  <si>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</si>
  <si>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</si>
  <si>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</si>
  <si>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</si>
  <si>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</si>
  <si>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</si>
  <si>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</si>
  <si>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</si>
  <si>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</si>
  <si>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</si>
  <si>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</si>
  <si>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</si>
  <si>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</si>
  <si>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</si>
  <si>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</si>
  <si>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</si>
  <si>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</si>
  <si>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</si>
  <si>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</si>
  <si>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</si>
  <si>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</si>
  <si>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</si>
  <si>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</si>
  <si>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</si>
  <si>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</si>
  <si>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</si>
  <si>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</si>
  <si>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</si>
  <si>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</si>
  <si>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</si>
  <si>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</si>
  <si>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</si>
  <si>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</si>
  <si>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</si>
  <si>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</si>
  <si>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</si>
  <si>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</si>
  <si>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</si>
  <si>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</si>
  <si>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</si>
  <si>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</si>
  <si>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</si>
  <si>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</si>
  <si>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</si>
  <si>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</si>
  <si>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</si>
  <si>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</si>
  <si>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</si>
  <si>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</si>
  <si>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</si>
  <si>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</si>
  <si>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</si>
  <si>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</si>
  <si>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</si>
  <si>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</si>
  <si>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</si>
  <si>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</si>
  <si>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</si>
  <si>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</si>
  <si>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</si>
  <si>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</si>
  <si>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</si>
  <si>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</si>
  <si>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</si>
  <si>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</si>
  <si>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</si>
  <si>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</si>
  <si>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</si>
  <si>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</si>
  <si>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</si>
  <si>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</si>
  <si>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</si>
  <si>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</si>
  <si>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</si>
  <si>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</si>
  <si>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</si>
  <si>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</si>
  <si>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</si>
  <si>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</si>
  <si>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</si>
  <si>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</si>
  <si>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</si>
  <si>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</si>
  <si>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</si>
  <si>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</si>
  <si>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</si>
  <si>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</si>
  <si>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</si>
  <si>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</si>
  <si>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</si>
  <si>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</si>
  <si>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</si>
  <si>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</si>
  <si>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</si>
  <si>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</si>
  <si>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</si>
  <si>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</si>
  <si>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</si>
  <si>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</si>
  <si>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</si>
  <si>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</si>
  <si>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</si>
  <si>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</si>
  <si>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</si>
  <si>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</si>
  <si>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</si>
  <si>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</si>
  <si>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</si>
  <si>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</si>
  <si>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</si>
  <si>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</si>
  <si>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</si>
  <si>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</si>
  <si>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</si>
  <si>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</si>
  <si>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</si>
  <si>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</si>
  <si>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</si>
  <si>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</si>
  <si>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</si>
  <si>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</si>
  <si>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</si>
  <si>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</si>
  <si>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</si>
  <si>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</si>
  <si>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</si>
  <si>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</si>
  <si>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</si>
  <si>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</si>
  <si>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</si>
  <si>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</si>
  <si>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</si>
  <si>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</si>
  <si>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</si>
  <si>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</si>
  <si>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</si>
  <si>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</si>
  <si>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</si>
  <si>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</si>
  <si>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</si>
  <si>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</si>
  <si>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</si>
  <si>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</si>
  <si>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</si>
  <si>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</si>
  <si>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</si>
  <si>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</si>
  <si>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</si>
  <si>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</si>
  <si>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</si>
  <si>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</si>
  <si>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</si>
  <si>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</si>
  <si>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</si>
  <si>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</si>
  <si>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</si>
  <si>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</si>
  <si>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</si>
  <si>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</si>
  <si>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</si>
  <si>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</si>
  <si>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</si>
  <si>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</si>
  <si>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</si>
  <si>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</si>
  <si>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</si>
  <si>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</si>
  <si>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</si>
  <si>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</si>
  <si>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</si>
  <si>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</si>
  <si>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</si>
  <si>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</si>
  <si>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</si>
  <si>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</si>
  <si>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</si>
  <si>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</si>
  <si>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</si>
  <si>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</si>
  <si>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</si>
  <si>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</si>
  <si>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</si>
  <si>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</si>
  <si>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</si>
  <si>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</si>
  <si>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</si>
  <si>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</si>
  <si>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</si>
  <si>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</si>
  <si>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</si>
  <si>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</si>
  <si>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</si>
  <si>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</si>
  <si>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</si>
  <si>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</si>
  <si>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</si>
  <si>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</si>
  <si>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</si>
  <si>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</si>
  <si>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</si>
  <si>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</si>
  <si>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</si>
  <si>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</si>
  <si>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</si>
  <si>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</si>
  <si>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</si>
  <si>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</si>
  <si>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</si>
  <si>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</si>
  <si>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</si>
  <si>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</si>
  <si>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</si>
  <si>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</si>
  <si>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</si>
  <si>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</si>
  <si>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</si>
  <si>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</si>
  <si>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</si>
  <si>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</si>
  <si>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</si>
  <si>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</si>
  <si>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</si>
  <si>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</si>
  <si>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</si>
  <si>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</si>
  <si>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</si>
  <si>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</si>
  <si>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</si>
  <si>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</si>
  <si>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</si>
  <si>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</si>
  <si>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</si>
  <si>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</si>
  <si>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</si>
  <si>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</si>
  <si>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</si>
  <si>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</si>
  <si>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</si>
  <si>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</si>
  <si>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</si>
  <si>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</si>
  <si>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</si>
  <si>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</si>
  <si>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</si>
  <si>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</si>
  <si>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</si>
  <si>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</si>
  <si>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</si>
  <si>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</si>
  <si>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</si>
  <si>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</si>
  <si>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</si>
  <si>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</si>
  <si>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</si>
  <si>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</si>
  <si>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</si>
  <si>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</si>
  <si>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</si>
  <si>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</si>
  <si>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</si>
  <si>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</si>
  <si>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</si>
  <si>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</si>
  <si>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</si>
  <si>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</si>
  <si>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</si>
  <si>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</si>
  <si>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</si>
  <si>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</si>
  <si>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</si>
  <si>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</si>
  <si>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</si>
  <si>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</si>
  <si>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</si>
  <si>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</si>
  <si>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</si>
  <si>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</si>
  <si>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</si>
  <si>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</si>
  <si>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</si>
  <si>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</si>
  <si>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</si>
  <si>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</si>
  <si>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</si>
  <si>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</si>
  <si>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</si>
  <si>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</si>
  <si>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</si>
  <si>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</si>
  <si>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</si>
  <si>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</si>
  <si>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</si>
  <si>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</si>
  <si>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</si>
  <si>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</si>
  <si>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</si>
  <si>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</si>
  <si>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</si>
  <si>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</si>
  <si>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</si>
  <si>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</si>
  <si>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</si>
  <si>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</si>
  <si>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</si>
  <si>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</si>
  <si>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</si>
  <si>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</si>
  <si>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</si>
  <si>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</si>
  <si>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</si>
  <si>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</si>
  <si>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</si>
  <si>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</si>
  <si>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</si>
  <si>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</si>
  <si>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</si>
  <si>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</si>
  <si>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</si>
  <si>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</si>
  <si>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</si>
  <si>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</si>
  <si>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</si>
  <si>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</si>
  <si>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</si>
  <si>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</si>
  <si>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</si>
  <si>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</si>
  <si>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</si>
  <si>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</si>
  <si>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</si>
  <si>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</si>
  <si>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</si>
  <si>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</si>
  <si>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</si>
  <si>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</si>
  <si>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</si>
  <si>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</si>
  <si>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</si>
  <si>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</si>
  <si>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</si>
  <si>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</si>
  <si>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</si>
  <si>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</si>
  <si>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</si>
  <si>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</si>
  <si>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</si>
  <si>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</si>
  <si>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</si>
  <si>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</si>
  <si>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</si>
  <si>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</si>
  <si>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</si>
  <si>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</si>
  <si>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</si>
  <si>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</si>
  <si>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</si>
  <si>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</si>
  <si>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</si>
  <si>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</si>
  <si>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</si>
  <si>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</si>
  <si>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</si>
  <si>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</si>
  <si>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</si>
  <si>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</si>
  <si>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</si>
  <si>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</si>
  <si>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</si>
  <si>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</si>
  <si>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</si>
  <si>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</si>
  <si>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</si>
  <si>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</si>
  <si>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</si>
  <si>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</si>
  <si>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</si>
  <si>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</si>
  <si>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</si>
  <si>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</si>
  <si>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</si>
  <si>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</si>
  <si>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</si>
  <si>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</si>
  <si>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</si>
  <si>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</si>
  <si>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</si>
  <si>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</si>
  <si>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</si>
  <si>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</si>
  <si>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</si>
  <si>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</si>
  <si>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</si>
  <si>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</si>
  <si>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</si>
  <si>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</si>
  <si>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</si>
  <si>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</si>
  <si>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</si>
  <si>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</si>
  <si>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</si>
  <si>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</si>
  <si>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</si>
  <si>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</si>
  <si>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</si>
  <si>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</si>
  <si>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</si>
  <si>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</si>
  <si>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</si>
  <si>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</si>
  <si>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</si>
  <si>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</si>
  <si>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</si>
  <si>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</si>
  <si>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</si>
  <si>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</si>
  <si>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</si>
  <si>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</si>
  <si>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</si>
  <si>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</si>
  <si>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</si>
  <si>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</si>
  <si>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</si>
  <si>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</si>
  <si>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</si>
  <si>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</si>
  <si>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</si>
  <si>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</si>
  <si>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</si>
  <si>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</si>
  <si>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</si>
  <si>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</si>
  <si>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</si>
  <si>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</si>
  <si>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</si>
  <si>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</si>
  <si>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</si>
  <si>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</si>
  <si>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</si>
  <si>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</si>
  <si>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</si>
  <si>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</si>
  <si>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</si>
  <si>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</si>
  <si>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</si>
  <si>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</si>
  <si>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</si>
  <si>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</si>
  <si>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</si>
  <si>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</si>
  <si>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</si>
  <si>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</si>
  <si>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</si>
  <si>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</si>
  <si>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</si>
  <si>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</si>
  <si>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</si>
  <si>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</si>
  <si>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</si>
  <si>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</si>
  <si>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</si>
  <si>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</si>
  <si>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</si>
  <si>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</si>
  <si>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</si>
  <si>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</si>
  <si>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</si>
  <si>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</si>
  <si>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</si>
  <si>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</si>
  <si>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</si>
  <si>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</si>
  <si>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</si>
  <si>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</si>
  <si>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</si>
  <si>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</si>
  <si>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</si>
  <si>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</si>
  <si>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</si>
  <si>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</si>
  <si>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</si>
  <si>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</si>
  <si>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</si>
  <si>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</si>
  <si>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</si>
  <si>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</si>
  <si>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</si>
  <si>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</si>
  <si>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</si>
  <si>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</si>
  <si>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</si>
  <si>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</si>
  <si>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</si>
  <si>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</si>
  <si>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</si>
  <si>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</si>
  <si>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</si>
  <si>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</si>
  <si>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</si>
  <si>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</si>
  <si>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</si>
  <si>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</si>
  <si>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</si>
  <si>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</si>
  <si>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</si>
  <si>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</si>
  <si>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</si>
  <si>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</si>
  <si>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</si>
  <si>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</si>
  <si>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</si>
  <si>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</si>
  <si>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</si>
  <si>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</si>
  <si>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</si>
  <si>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</si>
  <si>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</si>
  <si>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</si>
  <si>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</si>
  <si>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</si>
  <si>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</si>
  <si>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</si>
  <si>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</si>
  <si>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</si>
  <si>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</si>
  <si>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</si>
  <si>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</si>
  <si>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</si>
  <si>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</si>
  <si>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</si>
  <si>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</si>
  <si>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</si>
  <si>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</si>
  <si>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</si>
  <si>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</si>
  <si>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</si>
  <si>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</si>
  <si>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</si>
  <si>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</si>
  <si>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</si>
  <si>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</si>
  <si>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</si>
  <si>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</si>
  <si>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</si>
  <si>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</si>
  <si>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</si>
  <si>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</si>
  <si>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</si>
  <si>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</si>
  <si>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</si>
  <si>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</si>
  <si>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</si>
  <si>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</si>
  <si>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</si>
  <si>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</si>
  <si>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</si>
  <si>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</si>
  <si>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</si>
  <si>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</si>
  <si>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</si>
  <si>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</si>
  <si>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</si>
  <si>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</si>
  <si>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</si>
  <si>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</si>
  <si>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</si>
  <si>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</si>
  <si>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</si>
  <si>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</si>
  <si>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</si>
  <si>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</si>
  <si>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</si>
  <si>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</si>
  <si>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</si>
  <si>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</si>
  <si>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</si>
  <si>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</si>
  <si>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</si>
  <si>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</si>
  <si>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</si>
  <si>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</si>
  <si>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</si>
  <si>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</si>
  <si>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</si>
  <si>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</si>
  <si>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</si>
  <si>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</si>
  <si>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</si>
  <si>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</si>
  <si>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</si>
  <si>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</si>
  <si>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</si>
  <si>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</si>
  <si>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</si>
  <si>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</si>
  <si>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</si>
  <si>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</si>
  <si>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</si>
  <si>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</si>
  <si>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</si>
  <si>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</si>
  <si>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</si>
  <si>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</si>
  <si>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</si>
  <si>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</si>
  <si>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</si>
  <si>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</si>
  <si>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</si>
  <si>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</si>
  <si>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</si>
  <si>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</si>
  <si>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</si>
  <si>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</si>
  <si>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</si>
  <si>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</si>
  <si>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</si>
  <si>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</si>
  <si>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</si>
  <si>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</si>
  <si>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</si>
  <si>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</si>
  <si>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</si>
  <si>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</si>
  <si>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</si>
  <si>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</si>
  <si>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</si>
  <si>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</si>
  <si>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</si>
  <si>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</si>
  <si>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</si>
  <si>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</si>
  <si>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</si>
  <si>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</si>
  <si>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</si>
  <si>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</si>
  <si>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</si>
  <si>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</si>
  <si>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</si>
  <si>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</si>
  <si>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</si>
  <si>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</si>
  <si>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</si>
  <si>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</si>
  <si>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</si>
  <si>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</si>
  <si>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</si>
  <si>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</si>
  <si>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</si>
  <si>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</si>
  <si>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</si>
  <si>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</si>
  <si>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</si>
  <si>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</si>
  <si>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</si>
  <si>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</si>
  <si>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</si>
  <si>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</si>
  <si>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</si>
  <si>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</si>
  <si>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</si>
  <si>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</si>
  <si>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</si>
  <si>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</si>
  <si>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</si>
  <si>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</si>
  <si>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</si>
  <si>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</si>
  <si>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</si>
  <si>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</si>
  <si>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</si>
  <si>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</si>
  <si>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</si>
  <si>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</si>
  <si>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</si>
  <si>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</si>
  <si>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</si>
  <si>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</si>
  <si>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</si>
  <si>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</si>
  <si>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</si>
  <si>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</si>
  <si>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</si>
  <si>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</si>
  <si>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</si>
  <si>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</si>
  <si>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</si>
  <si>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</si>
  <si>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</si>
  <si>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</si>
  <si>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</si>
  <si>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</si>
  <si>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</si>
  <si>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</si>
  <si>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</si>
  <si>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</si>
  <si>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</si>
  <si>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</si>
  <si>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</si>
  <si>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</si>
  <si>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</si>
  <si>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</si>
  <si>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</si>
  <si>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</si>
  <si>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</si>
  <si>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</si>
  <si>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</si>
  <si>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</si>
  <si>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</si>
  <si>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</si>
  <si>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</si>
  <si>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</si>
  <si>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</si>
  <si>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</si>
  <si>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</si>
  <si>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</si>
  <si>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</si>
  <si>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</si>
  <si>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</si>
  <si>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</si>
  <si>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</si>
  <si>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</si>
  <si>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</si>
  <si>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</si>
  <si>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</si>
  <si>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</si>
  <si>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</si>
  <si>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</si>
  <si>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</si>
  <si>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</si>
  <si>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</si>
  <si>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</si>
  <si>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</si>
  <si>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</si>
  <si>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</si>
  <si>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</si>
  <si>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</si>
  <si>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</si>
  <si>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</si>
  <si>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</si>
  <si>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</si>
  <si>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</si>
  <si>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</si>
  <si>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</si>
  <si>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</si>
  <si>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</si>
  <si>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</si>
  <si>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</si>
  <si>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</si>
  <si>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</si>
  <si>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</si>
  <si>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</si>
  <si>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</si>
  <si>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</si>
  <si>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</si>
  <si>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</si>
  <si>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</si>
  <si>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</si>
  <si>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</si>
  <si>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</si>
  <si>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</si>
  <si>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</si>
  <si>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</si>
  <si>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</si>
  <si>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</si>
  <si>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</si>
  <si>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</si>
  <si>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</si>
  <si>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</si>
  <si>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</si>
  <si>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</si>
  <si>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</si>
  <si>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</si>
  <si>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</si>
  <si>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</si>
  <si>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</si>
  <si>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</si>
  <si>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</si>
  <si>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</si>
  <si>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</si>
  <si>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</si>
  <si>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</si>
  <si>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</si>
  <si>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</si>
  <si>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</si>
  <si>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</si>
  <si>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</si>
  <si>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</si>
  <si>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</si>
  <si>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</si>
  <si>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</si>
  <si>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</si>
  <si>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</si>
  <si>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</si>
  <si>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</si>
  <si>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</si>
  <si>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</si>
  <si>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</si>
  <si>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</si>
  <si>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</si>
  <si>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</si>
  <si>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</si>
  <si>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</si>
  <si>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</si>
  <si>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</si>
  <si>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</si>
  <si>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</si>
  <si>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</si>
  <si>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</si>
  <si>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</si>
  <si>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</si>
  <si>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</si>
  <si>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</si>
  <si>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</si>
  <si>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</si>
  <si>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</si>
  <si>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</si>
  <si>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</si>
  <si>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</si>
  <si>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</si>
  <si>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</si>
  <si>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</si>
  <si>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</si>
  <si>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</si>
  <si>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</si>
  <si>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</si>
  <si>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</si>
  <si>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</si>
  <si>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</si>
  <si>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</si>
  <si>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</si>
  <si>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</si>
  <si>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</si>
  <si>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</si>
  <si>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</si>
  <si>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</si>
  <si>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</si>
  <si>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</si>
  <si>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</si>
  <si>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</si>
  <si>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</si>
  <si>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</si>
  <si>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</si>
  <si>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</si>
  <si>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</si>
  <si>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</si>
  <si>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</si>
  <si>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</si>
  <si>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</si>
  <si>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</si>
  <si>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</si>
  <si>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</si>
  <si>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</si>
  <si>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</si>
  <si>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</si>
  <si>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</si>
  <si>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</si>
  <si>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</si>
  <si>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</si>
  <si>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</si>
  <si>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</si>
  <si>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</si>
  <si>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</si>
  <si>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</si>
  <si>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</si>
  <si>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</si>
  <si>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</si>
  <si>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</si>
  <si>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</si>
  <si>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</si>
  <si>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</si>
  <si>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</si>
  <si>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</si>
  <si>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</si>
  <si>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</si>
  <si>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</si>
  <si>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</si>
  <si>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</si>
  <si>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</si>
  <si>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</si>
  <si>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</si>
  <si>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</si>
  <si>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</si>
  <si>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</si>
  <si>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</si>
  <si>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</si>
  <si>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</si>
  <si>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</si>
  <si>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</si>
  <si>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</si>
  <si>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</si>
  <si>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</si>
  <si>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</si>
  <si>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</si>
  <si>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</si>
  <si>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</si>
  <si>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</si>
  <si>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</si>
  <si>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</si>
  <si>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</si>
  <si>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</si>
  <si>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</si>
  <si>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</si>
  <si>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</si>
  <si>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</si>
  <si>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</si>
  <si>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</si>
  <si>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</si>
  <si>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</si>
  <si>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</si>
  <si>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</si>
  <si>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</si>
  <si>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</si>
  <si>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</si>
  <si>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</si>
  <si>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</si>
  <si>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</si>
  <si>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</si>
  <si>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</si>
  <si>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</si>
  <si>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</si>
  <si>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</si>
  <si>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</si>
  <si>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</si>
  <si>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</si>
  <si>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</si>
  <si>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</si>
  <si>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</si>
  <si>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</si>
  <si>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</si>
  <si>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</si>
  <si>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</si>
  <si>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</si>
  <si>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</si>
  <si>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</si>
  <si>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</si>
  <si>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</si>
  <si>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</si>
  <si>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</si>
  <si>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</si>
  <si>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</si>
  <si>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</si>
  <si>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</si>
  <si>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</si>
  <si>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</si>
  <si>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</si>
  <si>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</si>
  <si>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</si>
  <si>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</si>
  <si>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</si>
  <si>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</si>
  <si>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</si>
  <si>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</si>
  <si>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</si>
  <si>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</si>
  <si>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</si>
  <si>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</si>
  <si>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</si>
  <si>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</si>
  <si>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</si>
  <si>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</si>
  <si>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</si>
  <si>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</si>
  <si>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</si>
  <si>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</si>
  <si>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</si>
  <si>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</si>
  <si>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</si>
  <si>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</si>
  <si>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</si>
  <si>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</si>
  <si>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</si>
  <si>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</si>
  <si>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</si>
  <si>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</si>
  <si>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</si>
  <si>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</si>
  <si>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</si>
  <si>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</si>
  <si>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</si>
  <si>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</si>
  <si>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</si>
  <si>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</si>
  <si>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</si>
  <si>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</si>
  <si>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</si>
  <si>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</si>
  <si>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</si>
  <si>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</si>
  <si>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</si>
  <si>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</si>
  <si>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</si>
  <si>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</si>
  <si>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</si>
  <si>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</si>
  <si>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</si>
  <si>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</si>
  <si>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</si>
  <si>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</si>
  <si>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</si>
  <si>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</si>
  <si>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</si>
  <si>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</si>
  <si>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</si>
  <si>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</si>
  <si>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</si>
  <si>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</si>
  <si>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</si>
  <si>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</si>
  <si>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</si>
  <si>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</si>
  <si>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</si>
  <si>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</si>
  <si>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</si>
  <si>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</si>
  <si>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</si>
  <si>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</si>
  <si>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</si>
  <si>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</si>
  <si>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</si>
  <si>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</si>
  <si>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</si>
  <si>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</si>
  <si>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</si>
  <si>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</si>
  <si>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</si>
  <si>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</si>
  <si>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</si>
  <si>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</si>
  <si>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</si>
  <si>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</si>
  <si>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</si>
  <si>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</si>
  <si>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</si>
  <si>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</si>
  <si>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</si>
  <si>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</si>
  <si>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</si>
  <si>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</si>
  <si>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</si>
  <si>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</si>
  <si>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</si>
  <si>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</si>
  <si>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</si>
  <si>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</si>
  <si>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</si>
  <si>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</si>
  <si>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</si>
  <si>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</si>
  <si>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</si>
  <si>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</si>
  <si>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</si>
  <si>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</si>
  <si>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</si>
  <si>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</si>
  <si>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</si>
  <si>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</si>
  <si>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</si>
  <si>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</si>
  <si>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</si>
  <si>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</si>
  <si>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</si>
  <si>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</si>
  <si>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</si>
  <si>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</si>
  <si>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</si>
  <si>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</si>
  <si>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</si>
  <si>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</si>
  <si>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</si>
  <si>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</si>
  <si>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</si>
  <si>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</si>
  <si>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</si>
  <si>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</si>
  <si>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</si>
  <si>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</si>
  <si>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</si>
  <si>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</si>
  <si>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</si>
  <si>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</si>
  <si>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</si>
  <si>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</si>
  <si>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</si>
  <si>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</si>
  <si>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</si>
  <si>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</si>
  <si>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</si>
  <si>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</si>
  <si>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</si>
  <si>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</si>
  <si>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</si>
  <si>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</si>
  <si>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</si>
  <si>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</si>
  <si>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</si>
  <si>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</si>
  <si>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</si>
  <si>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</si>
  <si>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</si>
  <si>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</si>
  <si>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</si>
  <si>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</si>
  <si>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</si>
  <si>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</si>
  <si>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</si>
  <si>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</si>
  <si>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</si>
  <si>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</si>
  <si>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</si>
  <si>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</si>
  <si>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</si>
  <si>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</si>
  <si>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</si>
  <si>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</si>
  <si>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</si>
  <si>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</si>
  <si>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</si>
  <si>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</si>
  <si>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</si>
  <si>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</si>
  <si>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</si>
  <si>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</si>
  <si>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</si>
  <si>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</si>
  <si>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</si>
  <si>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</si>
  <si>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</si>
  <si>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</si>
  <si>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</si>
  <si>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</si>
  <si>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</si>
  <si>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</si>
  <si>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</si>
  <si>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</si>
  <si>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</si>
  <si>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</si>
  <si>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</si>
  <si>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</si>
  <si>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</si>
  <si>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</si>
  <si>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</si>
  <si>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</si>
  <si>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</si>
  <si>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</si>
  <si>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</si>
  <si>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</si>
  <si>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</si>
  <si>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</si>
  <si>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</si>
  <si>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</si>
  <si>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</si>
  <si>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</si>
  <si>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</si>
  <si>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</si>
  <si>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</si>
  <si>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</si>
  <si>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</si>
  <si>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</si>
  <si>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</si>
  <si>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</si>
  <si>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</si>
  <si>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</si>
  <si>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</si>
  <si>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</si>
  <si>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</si>
  <si>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</si>
  <si>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</si>
  <si>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</si>
  <si>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</si>
  <si>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</si>
  <si>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</si>
  <si>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</si>
  <si>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</si>
  <si>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</si>
  <si>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</si>
  <si>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</si>
  <si>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</si>
  <si>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</si>
  <si>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</si>
  <si>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</si>
  <si>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</si>
  <si>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</si>
  <si>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</si>
  <si>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</si>
  <si>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</si>
  <si>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</si>
  <si>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</si>
  <si>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</si>
  <si>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</si>
  <si>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</si>
  <si>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</si>
  <si>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</si>
  <si>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</si>
  <si>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</si>
  <si>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</si>
  <si>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</si>
  <si>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</si>
  <si>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</si>
  <si>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</si>
  <si>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</si>
  <si>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</si>
  <si>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</si>
  <si>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</si>
  <si>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</si>
  <si>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</si>
  <si>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</si>
  <si>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</si>
  <si>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</si>
  <si>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</si>
  <si>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</si>
  <si>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</si>
  <si>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</si>
  <si>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</si>
  <si>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</si>
  <si>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</si>
  <si>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</si>
  <si>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</si>
  <si>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</si>
  <si>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</si>
  <si>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</si>
  <si>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</si>
  <si>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</si>
  <si>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</si>
  <si>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</si>
  <si>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</si>
  <si>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</si>
  <si>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</si>
  <si>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</si>
  <si>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</si>
  <si>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</si>
  <si>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</si>
  <si>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</si>
  <si>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</si>
  <si>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</si>
  <si>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</si>
  <si>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</si>
  <si>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</si>
  <si>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</si>
  <si>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</si>
  <si>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</si>
  <si>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</si>
  <si>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</si>
  <si>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</si>
  <si>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</si>
  <si>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</si>
  <si>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</si>
  <si>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</si>
  <si>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</si>
  <si>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</si>
  <si>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</si>
  <si>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</si>
  <si>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</si>
  <si>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</si>
  <si>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</si>
  <si>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</si>
  <si>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</si>
  <si>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</si>
  <si>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</si>
  <si>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</si>
  <si>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</si>
  <si>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</si>
  <si>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</si>
  <si>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</si>
  <si>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</si>
  <si>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</si>
  <si>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</si>
  <si>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</si>
  <si>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</si>
  <si>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</si>
  <si>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</si>
  <si>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</si>
  <si>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</si>
  <si>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</si>
  <si>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</si>
  <si>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</si>
  <si>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</si>
  <si>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</si>
  <si>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</si>
  <si>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</si>
  <si>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</si>
  <si>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</si>
  <si>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</si>
  <si>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</si>
  <si>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</si>
  <si>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</si>
  <si>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</si>
  <si>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</si>
  <si>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</si>
  <si>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</si>
  <si>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</si>
  <si>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</si>
  <si>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</si>
  <si>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</si>
  <si>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</si>
  <si>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</si>
  <si>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</si>
  <si>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</si>
  <si>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</si>
  <si>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</si>
  <si>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</si>
  <si>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</si>
  <si>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</si>
  <si>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</si>
  <si>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</si>
  <si>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</si>
  <si>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</si>
  <si>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</si>
  <si>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</si>
  <si>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</si>
  <si>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</si>
  <si>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</si>
  <si>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</si>
  <si>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</si>
  <si>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</si>
  <si>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</si>
  <si>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</si>
  <si>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</si>
  <si>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</si>
  <si>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</si>
  <si>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</si>
  <si>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</si>
  <si>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</si>
  <si>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</si>
  <si>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</si>
  <si>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</si>
  <si>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</si>
  <si>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</si>
  <si>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</si>
  <si>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</si>
  <si>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</si>
  <si>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</si>
  <si>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</si>
  <si>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</si>
  <si>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</si>
  <si>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</si>
  <si>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</si>
  <si>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</si>
  <si>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</si>
  <si>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</si>
  <si>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</si>
  <si>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</si>
  <si>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</si>
  <si>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</si>
  <si>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</si>
  <si>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</si>
  <si>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</si>
  <si>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</si>
  <si>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</si>
  <si>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</si>
  <si>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</si>
  <si>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</si>
  <si>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</si>
  <si>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</si>
  <si>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</si>
  <si>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</si>
  <si>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</si>
  <si>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</si>
  <si>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</si>
  <si>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</si>
  <si>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</si>
  <si>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</si>
  <si>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</si>
  <si>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</si>
  <si>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</si>
  <si>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</si>
  <si>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</si>
  <si>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</si>
  <si>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</si>
  <si>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</si>
  <si>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</si>
  <si>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</si>
  <si>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</si>
  <si>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</si>
  <si>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</si>
  <si>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</si>
  <si>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</si>
  <si>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</si>
  <si>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</si>
  <si>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</si>
  <si>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</si>
  <si>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</si>
  <si>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</si>
  <si>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</si>
  <si>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</si>
  <si>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</si>
  <si>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</si>
  <si>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</si>
  <si>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</si>
  <si>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</si>
  <si>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</si>
  <si>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</si>
  <si>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</si>
  <si>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</si>
  <si>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</si>
  <si>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</si>
  <si>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</si>
  <si>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</si>
  <si>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</si>
  <si>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</si>
  <si>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</si>
  <si>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</si>
  <si>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</si>
  <si>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</si>
  <si>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</si>
  <si>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</si>
  <si>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</si>
  <si>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</si>
  <si>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</si>
  <si>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</si>
  <si>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</si>
  <si>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</si>
  <si>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</si>
  <si>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</si>
  <si>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</si>
  <si>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</si>
  <si>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</si>
  <si>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</si>
  <si>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</si>
  <si>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</si>
  <si>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</si>
  <si>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</si>
  <si>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</si>
  <si>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</si>
  <si>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</si>
  <si>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</si>
  <si>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</si>
  <si>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</si>
  <si>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</si>
  <si>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</si>
  <si>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</si>
  <si>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</si>
  <si>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</si>
  <si>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</si>
  <si>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</si>
  <si>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</si>
  <si>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</si>
  <si>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</si>
  <si>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</si>
  <si>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</si>
  <si>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</si>
  <si>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</si>
  <si>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</si>
  <si>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</si>
  <si>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</si>
  <si>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</si>
  <si>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</si>
  <si>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</si>
  <si>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</si>
  <si>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</si>
  <si>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</si>
  <si>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</si>
  <si>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</si>
  <si>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</si>
  <si>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</si>
  <si>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</si>
  <si>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</si>
  <si>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</si>
  <si>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</si>
  <si>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</si>
  <si>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</si>
  <si>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</si>
  <si>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</si>
  <si>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</si>
  <si>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</si>
  <si>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</si>
  <si>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</si>
  <si>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</si>
  <si>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</si>
  <si>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</si>
  <si>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</si>
  <si>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</si>
  <si>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</si>
  <si>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</si>
  <si>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</si>
  <si>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</si>
  <si>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</si>
  <si>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</si>
  <si>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</si>
  <si>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</si>
  <si>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</si>
  <si>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</si>
  <si>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</si>
  <si>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</si>
  <si>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</si>
  <si>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</si>
  <si>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</si>
  <si>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</si>
  <si>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</si>
  <si>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</si>
  <si>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</si>
  <si>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</si>
  <si>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</si>
  <si>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</si>
  <si>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</si>
  <si>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</si>
  <si>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</si>
  <si>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</si>
  <si>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</si>
  <si>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</si>
  <si>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</si>
  <si>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</si>
  <si>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</si>
  <si>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</si>
  <si>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</si>
  <si>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</si>
  <si>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</si>
  <si>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</si>
  <si>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</si>
  <si>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</si>
  <si>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</si>
  <si>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</si>
  <si>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</si>
  <si>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</si>
  <si>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</si>
  <si>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</si>
  <si>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</si>
  <si>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</si>
  <si>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</si>
  <si>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</si>
  <si>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</si>
  <si>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</si>
  <si>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</si>
  <si>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</si>
  <si>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</si>
  <si>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</si>
  <si>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</si>
  <si>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</si>
  <si>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</si>
  <si>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</si>
  <si>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</si>
  <si>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</si>
  <si>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</si>
  <si>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</si>
  <si>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</si>
  <si>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</si>
  <si>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</si>
  <si>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</si>
  <si>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</si>
  <si>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</si>
  <si>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</si>
  <si>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</si>
  <si>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</si>
  <si>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</si>
  <si>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</si>
  <si>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</si>
  <si>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</si>
  <si>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</si>
  <si>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</si>
  <si>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</si>
  <si>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</si>
  <si>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</si>
  <si>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</si>
  <si>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</si>
  <si>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</si>
  <si>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</si>
  <si>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</si>
  <si>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</si>
  <si>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</si>
  <si>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</si>
  <si>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</si>
  <si>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</si>
  <si>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</si>
  <si>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</si>
  <si>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</si>
  <si>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</si>
  <si>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</si>
  <si>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</si>
  <si>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</si>
  <si>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</si>
  <si>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</si>
  <si>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</si>
  <si>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</si>
  <si>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</si>
  <si>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</si>
  <si>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</si>
  <si>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</si>
  <si>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</si>
  <si>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</si>
  <si>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</si>
  <si>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</si>
  <si>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</si>
  <si>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</si>
  <si>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</si>
  <si>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</si>
  <si>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</si>
  <si>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</si>
  <si>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</si>
  <si>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</si>
  <si>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</si>
  <si>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</si>
  <si>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</si>
  <si>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</si>
  <si>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</si>
  <si>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</si>
  <si>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</si>
  <si>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</si>
  <si>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</si>
  <si>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</si>
  <si>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</si>
  <si>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</si>
  <si>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</si>
  <si>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</si>
  <si>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</si>
  <si>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</si>
  <si>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</si>
  <si>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</si>
  <si>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</si>
  <si>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</si>
  <si>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</si>
  <si>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</si>
  <si>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</si>
  <si>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</si>
  <si>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</si>
  <si>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</si>
  <si>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</si>
  <si>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</si>
  <si>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</si>
  <si>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</si>
  <si>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</si>
  <si>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</si>
  <si>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</si>
  <si>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</si>
  <si>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</si>
  <si>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</si>
  <si>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</si>
  <si>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</si>
  <si>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</si>
  <si>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</si>
  <si>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</si>
  <si>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</si>
  <si>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</si>
  <si>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</si>
  <si>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</si>
  <si>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</si>
  <si>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</si>
  <si>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</si>
  <si>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</si>
  <si>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</si>
  <si>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</si>
  <si>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</si>
  <si>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</si>
  <si>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</si>
  <si>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</si>
  <si>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</si>
  <si>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</si>
  <si>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</si>
  <si>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</si>
  <si>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</si>
  <si>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</si>
  <si>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</si>
  <si>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</si>
  <si>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</si>
  <si>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</si>
  <si>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</si>
  <si>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</si>
  <si>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</si>
  <si>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</si>
  <si>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</si>
  <si>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</si>
  <si>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</si>
  <si>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</si>
  <si>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</si>
  <si>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</si>
  <si>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</si>
  <si>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</si>
  <si>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</si>
  <si>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</si>
  <si>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</si>
  <si>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</si>
  <si>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</si>
  <si>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</si>
  <si>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</si>
  <si>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</si>
  <si>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</si>
  <si>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</si>
  <si>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</si>
  <si>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</si>
  <si>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</si>
  <si>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</si>
  <si>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</si>
  <si>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</si>
  <si>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</si>
  <si>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</si>
  <si>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</si>
  <si>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</si>
  <si>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</si>
  <si>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</si>
  <si>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</si>
  <si>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</si>
  <si>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</si>
  <si>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</si>
  <si>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</si>
  <si>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</si>
  <si>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</si>
  <si>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</si>
  <si>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</si>
  <si>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</si>
  <si>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</si>
  <si>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</si>
  <si>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</si>
  <si>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</si>
  <si>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</si>
  <si>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</si>
  <si>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</si>
  <si>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</si>
  <si>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</si>
  <si>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</si>
  <si>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</si>
  <si>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</si>
  <si>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</si>
  <si>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</si>
  <si>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</si>
  <si>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</si>
  <si>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</si>
  <si>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</si>
  <si>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</si>
  <si>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</si>
  <si>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</si>
  <si>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</si>
  <si>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</si>
  <si>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</si>
  <si>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</si>
  <si>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</si>
  <si>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</si>
  <si>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</si>
  <si>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</si>
  <si>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</si>
  <si>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</si>
  <si>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</si>
  <si>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</si>
  <si>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</si>
  <si>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</si>
  <si>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</si>
  <si>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</si>
  <si>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</si>
  <si>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</si>
  <si>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</si>
  <si>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</si>
  <si>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</si>
  <si>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</si>
  <si>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</si>
  <si>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</si>
  <si>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</si>
  <si>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</si>
  <si>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</si>
  <si>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</si>
  <si>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</si>
  <si>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</si>
  <si>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</si>
  <si>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</si>
  <si>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</si>
  <si>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</si>
  <si>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</si>
  <si>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</si>
  <si>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</si>
  <si>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</si>
  <si>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</si>
  <si>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</si>
  <si>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</si>
  <si>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</si>
  <si>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</si>
  <si>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</si>
  <si>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</si>
  <si>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</si>
  <si>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</si>
  <si>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</si>
  <si>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</si>
  <si>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</si>
  <si>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</si>
  <si>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</si>
  <si>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</si>
  <si>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</si>
  <si>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</si>
  <si>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</si>
  <si>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</si>
  <si>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</si>
  <si>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</si>
  <si>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</si>
  <si>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</si>
  <si>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</si>
  <si>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</si>
  <si>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</si>
  <si>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</si>
  <si>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</si>
  <si>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</si>
  <si>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</si>
  <si>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</si>
  <si>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</si>
  <si>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</si>
  <si>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</si>
  <si>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</si>
  <si>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</si>
  <si>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</si>
  <si>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</si>
  <si>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</si>
  <si>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</si>
  <si>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</si>
  <si>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</si>
  <si>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</si>
  <si>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</si>
  <si>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</si>
  <si>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</si>
  <si>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</si>
  <si>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</si>
  <si>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</si>
  <si>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</si>
  <si>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</si>
  <si>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</si>
  <si>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</si>
  <si>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</si>
  <si>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</si>
  <si>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</si>
  <si>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</si>
  <si>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</si>
  <si>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</si>
  <si>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</si>
  <si>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</si>
  <si>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</si>
  <si>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</si>
  <si>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</si>
  <si>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</si>
  <si>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</si>
  <si>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</si>
  <si>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</si>
  <si>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</si>
  <si>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</si>
  <si>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</si>
  <si>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</si>
  <si>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</si>
  <si>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</si>
  <si>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</si>
  <si>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</si>
  <si>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</si>
  <si>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</si>
  <si>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</si>
  <si>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</si>
  <si>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</si>
  <si>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</si>
  <si>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</si>
  <si>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</si>
  <si>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</si>
  <si>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</si>
  <si>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</si>
  <si>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</si>
  <si>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</si>
  <si>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</si>
  <si>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</si>
  <si>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</si>
  <si>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</si>
  <si>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</si>
  <si>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</si>
  <si>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</si>
  <si>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</si>
  <si>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</si>
  <si>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</si>
  <si>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</si>
  <si>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</si>
  <si>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</si>
  <si>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</si>
  <si>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</si>
  <si>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</si>
  <si>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</si>
  <si>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</si>
  <si>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</si>
  <si>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</si>
  <si>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</si>
  <si>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</si>
  <si>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</si>
  <si>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</si>
  <si>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</si>
  <si>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</si>
  <si>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</si>
  <si>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</si>
  <si>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</si>
  <si>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</si>
  <si>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</si>
  <si>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</si>
  <si>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</si>
  <si>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</si>
  <si>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</si>
  <si>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</si>
  <si>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</si>
  <si>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</si>
  <si>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</si>
  <si>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</si>
  <si>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</si>
  <si>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</si>
  <si>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</si>
  <si>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</si>
  <si>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</si>
  <si>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</si>
  <si>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</si>
  <si>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</si>
  <si>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</si>
  <si>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</si>
  <si>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</si>
  <si>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</si>
  <si>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</si>
  <si>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</si>
  <si>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</si>
  <si>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</si>
  <si>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</si>
  <si>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</si>
  <si>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</si>
  <si>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</si>
  <si>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</si>
  <si>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</si>
  <si>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</si>
  <si>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</si>
  <si>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</si>
  <si>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</si>
  <si>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</si>
  <si>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</si>
  <si>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</si>
  <si>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</si>
  <si>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</si>
  <si>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</si>
  <si>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</si>
  <si>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</si>
  <si>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</si>
  <si>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</si>
  <si>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</si>
  <si>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</si>
  <si>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</si>
  <si>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</si>
  <si>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</si>
  <si>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</si>
  <si>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</si>
  <si>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</si>
  <si>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</si>
  <si>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</si>
  <si>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</si>
  <si>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</si>
  <si>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</si>
  <si>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</si>
  <si>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</si>
  <si>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</si>
  <si>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</si>
  <si>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</si>
  <si>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</si>
  <si>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</si>
  <si>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</si>
  <si>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</si>
  <si>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</si>
  <si>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</si>
  <si>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</si>
  <si>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</si>
  <si>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</si>
  <si>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</si>
  <si>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</si>
  <si>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</si>
  <si>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</si>
  <si>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</si>
  <si>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</si>
  <si>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</si>
  <si>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</si>
  <si>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</si>
  <si>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</si>
  <si>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</si>
  <si>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</si>
  <si>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</si>
  <si>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</si>
  <si>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</si>
  <si>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</si>
  <si>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</si>
  <si>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</si>
  <si>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</si>
  <si>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</si>
  <si>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</si>
  <si>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</si>
  <si>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</si>
  <si>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</si>
  <si>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</si>
  <si>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</si>
  <si>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</si>
  <si>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</si>
  <si>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</si>
  <si>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</si>
  <si>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</si>
  <si>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</si>
  <si>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</si>
  <si>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</si>
  <si>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</si>
  <si>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</si>
  <si>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</si>
  <si>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</si>
  <si>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</si>
  <si>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</si>
  <si>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</si>
  <si>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</si>
  <si>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</si>
  <si>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</si>
  <si>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</si>
  <si>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</si>
  <si>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</si>
  <si>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</si>
  <si>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</si>
  <si>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</si>
  <si>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</si>
  <si>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</si>
  <si>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</si>
  <si>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</si>
  <si>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</si>
  <si>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</si>
  <si>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</si>
  <si>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</si>
  <si>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</si>
  <si>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</si>
  <si>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</si>
  <si>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</si>
  <si>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</si>
  <si>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</si>
  <si>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</si>
  <si>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</si>
  <si>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</si>
  <si>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</si>
  <si>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</si>
  <si>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</si>
  <si>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</si>
  <si>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</si>
  <si>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</si>
  <si>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</si>
  <si>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</si>
  <si>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</si>
  <si>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</si>
  <si>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</si>
  <si>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</si>
  <si>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</si>
  <si>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</si>
  <si>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</si>
  <si>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</si>
  <si>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</si>
  <si>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</si>
  <si>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</si>
  <si>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</si>
  <si>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</si>
  <si>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</si>
  <si>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</si>
  <si>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</si>
  <si>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</si>
  <si>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</si>
  <si>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</si>
  <si>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</si>
  <si>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</si>
  <si>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</si>
  <si>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</si>
  <si>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</si>
  <si>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</si>
  <si>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</si>
  <si>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</si>
  <si>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</si>
  <si>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</si>
  <si>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</si>
  <si>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</si>
  <si>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</si>
  <si>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</si>
  <si>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</si>
  <si>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</si>
  <si>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</si>
  <si>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</si>
  <si>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</si>
  <si>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</si>
  <si>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</si>
  <si>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</si>
  <si>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</si>
  <si>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</si>
  <si>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</si>
  <si>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</si>
  <si>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</si>
  <si>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</si>
  <si>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</si>
  <si>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</si>
  <si>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</si>
  <si>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</si>
  <si>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</si>
  <si>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</si>
  <si>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</si>
  <si>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</si>
  <si>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</si>
  <si>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</si>
  <si>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</si>
  <si>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</si>
  <si>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</si>
  <si>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</si>
  <si>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</si>
  <si>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</si>
  <si>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</si>
  <si>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</si>
  <si>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</si>
  <si>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</si>
  <si>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</si>
  <si>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</si>
  <si>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</si>
  <si>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</si>
  <si>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</si>
  <si>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</si>
  <si>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</si>
  <si>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</si>
  <si>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</si>
  <si>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</si>
  <si>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</si>
  <si>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</si>
  <si>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</si>
  <si>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</si>
  <si>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</si>
  <si>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</si>
  <si>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</si>
  <si>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</si>
  <si>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</si>
  <si>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</si>
  <si>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</si>
  <si>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</si>
  <si>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</si>
  <si>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</si>
  <si>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</si>
  <si>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</si>
  <si>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</si>
  <si>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</si>
  <si>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</si>
  <si>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</si>
  <si>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</si>
  <si>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</si>
  <si>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</si>
  <si>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</si>
  <si>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</si>
  <si>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</si>
  <si>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</si>
  <si>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</si>
  <si>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</si>
  <si>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</si>
  <si>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</si>
  <si>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</si>
  <si>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</si>
  <si>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</si>
  <si>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</si>
  <si>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</si>
  <si>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</si>
  <si>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</si>
  <si>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</si>
  <si>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</si>
  <si>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</si>
  <si>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</si>
  <si>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</si>
  <si>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</si>
  <si>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</si>
  <si>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</si>
  <si>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</si>
  <si>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</si>
  <si>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</si>
  <si>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</si>
  <si>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</si>
  <si>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</si>
  <si>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</si>
  <si>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</si>
  <si>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</si>
  <si>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</si>
  <si>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</si>
  <si>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</si>
  <si>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</si>
  <si>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</si>
  <si>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</si>
  <si>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</si>
  <si>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</si>
  <si>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</si>
  <si>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</si>
  <si>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</si>
  <si>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</si>
  <si>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</si>
  <si>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</si>
  <si>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</si>
  <si>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</si>
  <si>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</si>
  <si>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</si>
  <si>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</si>
  <si>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</si>
  <si>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</si>
  <si>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</si>
  <si>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</si>
  <si>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</si>
  <si>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</si>
  <si>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</si>
  <si>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</si>
  <si>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</si>
  <si>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</si>
  <si>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</si>
  <si>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</si>
  <si>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</si>
  <si>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</si>
  <si>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</si>
  <si>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</si>
  <si>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</si>
  <si>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</si>
  <si>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</si>
  <si>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</si>
  <si>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</si>
  <si>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</si>
  <si>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</si>
  <si>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</si>
  <si>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</si>
  <si>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</si>
  <si>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</si>
  <si>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</si>
  <si>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</si>
  <si>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</si>
  <si>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</si>
  <si>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</si>
  <si>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</si>
  <si>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</si>
  <si>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</si>
  <si>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</si>
  <si>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</si>
  <si>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</si>
  <si>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</si>
  <si>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</si>
  <si>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</si>
  <si>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</si>
  <si>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</si>
  <si>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</si>
  <si>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</si>
  <si>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</si>
  <si>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</si>
  <si>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</si>
  <si>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</si>
  <si>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</si>
  <si>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</si>
  <si>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</si>
  <si>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</si>
  <si>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</si>
  <si>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</si>
  <si>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</si>
  <si>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</si>
  <si>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</si>
  <si>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</si>
  <si>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</si>
  <si>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</si>
  <si>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</si>
  <si>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</si>
  <si>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</si>
  <si>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</si>
  <si>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</si>
  <si>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</si>
  <si>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</si>
  <si>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</si>
  <si>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</si>
  <si>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</si>
  <si>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</si>
  <si>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</si>
  <si>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</si>
  <si>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</si>
  <si>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</si>
  <si>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</si>
  <si>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</si>
  <si>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</si>
  <si>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</si>
  <si>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</si>
  <si>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</si>
  <si>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</si>
  <si>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</si>
  <si>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</si>
  <si>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</si>
  <si>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</si>
  <si>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</si>
  <si>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</si>
  <si>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</si>
  <si>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</si>
  <si>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</si>
  <si>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</si>
  <si>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</si>
  <si>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</si>
  <si>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</si>
  <si>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</si>
  <si>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</si>
  <si>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</si>
  <si>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</si>
  <si>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</si>
  <si>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</si>
  <si>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</si>
  <si>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</si>
  <si>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</si>
  <si>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</si>
  <si>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</si>
  <si>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</si>
  <si>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</si>
  <si>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</si>
  <si>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</si>
  <si>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</si>
  <si>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</si>
  <si>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</si>
  <si>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</si>
  <si>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</si>
  <si>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</si>
  <si>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</si>
  <si>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</si>
  <si>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</si>
  <si>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</si>
  <si>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</si>
  <si>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</si>
  <si>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</si>
  <si>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</si>
  <si>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</si>
  <si>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</si>
  <si>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</si>
  <si>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</si>
  <si>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</si>
  <si>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</si>
  <si>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</si>
  <si>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</si>
  <si>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</si>
  <si>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</si>
  <si>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</si>
  <si>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</si>
  <si>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</si>
  <si>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</si>
  <si>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</si>
  <si>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</si>
  <si>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</si>
  <si>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</si>
  <si>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</si>
  <si>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</si>
  <si>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</si>
  <si>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</si>
  <si>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</si>
  <si>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</si>
  <si>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</si>
  <si>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</si>
  <si>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</si>
  <si>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</si>
  <si>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</si>
  <si>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</si>
  <si>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</si>
  <si>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</si>
  <si>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</si>
  <si>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</si>
  <si>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</si>
  <si>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</si>
  <si>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</si>
  <si>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</si>
  <si>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</si>
  <si>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</si>
  <si>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</si>
  <si>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</si>
  <si>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</si>
  <si>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</si>
  <si>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</si>
  <si>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</si>
  <si>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</si>
  <si>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</si>
  <si>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</si>
  <si>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</si>
  <si>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</si>
  <si>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</si>
  <si>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</si>
  <si>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</si>
  <si>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</si>
  <si>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</si>
  <si>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</si>
  <si>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</si>
  <si>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</si>
  <si>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</si>
  <si>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</si>
  <si>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</si>
  <si>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</si>
  <si>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</si>
  <si>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</si>
  <si>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</si>
  <si>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</si>
  <si>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</si>
  <si>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</si>
  <si>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</si>
  <si>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</si>
  <si>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</si>
  <si>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</si>
  <si>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</si>
  <si>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</si>
  <si>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</si>
  <si>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</si>
  <si>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</si>
  <si>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</si>
  <si>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</si>
  <si>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</si>
  <si>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</si>
  <si>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</si>
  <si>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</si>
  <si>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</si>
  <si>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</si>
  <si>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</si>
  <si>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</si>
  <si>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</si>
  <si>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</si>
  <si>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</si>
  <si>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</si>
  <si>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</si>
  <si>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</si>
  <si>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</si>
  <si>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</si>
  <si>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</si>
  <si>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</si>
  <si>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</si>
  <si>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</si>
  <si>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</si>
  <si>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</si>
  <si>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</si>
  <si>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</si>
  <si>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</si>
  <si>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</si>
  <si>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</si>
  <si>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</si>
  <si>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</si>
  <si>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</si>
  <si>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</si>
  <si>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</si>
  <si>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</si>
  <si>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</si>
  <si>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</si>
  <si>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</si>
  <si>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</si>
  <si>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</si>
  <si>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</si>
  <si>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</si>
  <si>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</si>
  <si>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</si>
  <si>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</si>
  <si>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</si>
  <si>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</si>
  <si>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</si>
  <si>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</si>
  <si>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</si>
  <si>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</si>
  <si>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</si>
  <si>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</si>
  <si>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</si>
  <si>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</si>
  <si>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</si>
  <si>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</si>
  <si>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</si>
  <si>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</si>
  <si>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</si>
  <si>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</si>
  <si>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</si>
  <si>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</si>
  <si>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</si>
  <si>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</si>
  <si>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</si>
  <si>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</si>
  <si>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</si>
  <si>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</si>
  <si>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</si>
  <si>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</si>
  <si>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</si>
  <si>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</si>
  <si>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</si>
  <si>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</si>
  <si>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</si>
  <si>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</si>
  <si>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</si>
  <si>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</si>
  <si>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</si>
  <si>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</si>
  <si>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</si>
  <si>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</si>
  <si>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</si>
  <si>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</si>
  <si>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</si>
  <si>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</si>
  <si>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</si>
  <si>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</si>
  <si>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</si>
  <si>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</si>
  <si>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</si>
  <si>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</si>
  <si>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</si>
  <si>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</si>
  <si>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</si>
  <si>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</si>
  <si>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</si>
  <si>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</si>
  <si>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</si>
  <si>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</si>
  <si>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</si>
  <si>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</si>
  <si>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</si>
  <si>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</si>
  <si>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</si>
  <si>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</si>
  <si>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</si>
  <si>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</si>
  <si>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</si>
  <si>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</si>
  <si>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</si>
  <si>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</si>
  <si>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</si>
  <si>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</si>
  <si>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</si>
  <si>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</si>
  <si>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</si>
  <si>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</si>
  <si>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</si>
  <si>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</si>
  <si>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</si>
  <si>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</si>
  <si>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</si>
  <si>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</si>
  <si>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</si>
  <si>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</si>
  <si>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</si>
  <si>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</si>
  <si>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</si>
  <si>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</si>
  <si>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</si>
  <si>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</si>
  <si>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</si>
  <si>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</si>
  <si>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</si>
  <si>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</si>
  <si>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</si>
  <si>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</si>
  <si>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</si>
  <si>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</si>
  <si>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</si>
  <si>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</si>
  <si>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</si>
  <si>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</si>
  <si>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</si>
  <si>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</si>
  <si>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</si>
  <si>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</si>
  <si>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</si>
  <si>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</si>
  <si>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</si>
  <si>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</si>
  <si>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</si>
  <si>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</si>
  <si>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</si>
  <si>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</si>
  <si>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</si>
  <si>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</si>
  <si>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</si>
  <si>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</si>
  <si>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</si>
  <si>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</si>
  <si>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</si>
  <si>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</si>
  <si>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</si>
  <si>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</si>
  <si>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</si>
  <si>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</si>
  <si>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</si>
  <si>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</si>
  <si>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</si>
  <si>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</si>
  <si>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</si>
  <si>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</si>
  <si>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</si>
  <si>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</si>
  <si>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</si>
  <si>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</si>
  <si>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</si>
  <si>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</si>
  <si>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</si>
  <si>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</si>
  <si>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</si>
  <si>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</si>
  <si>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</si>
  <si>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</si>
  <si>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</si>
  <si>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</si>
  <si>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</si>
  <si>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</si>
  <si>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</si>
  <si>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</si>
  <si>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</si>
  <si>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</si>
  <si>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</si>
  <si>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</si>
  <si>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</si>
  <si>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</si>
  <si>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</si>
  <si>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</si>
  <si>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</si>
  <si>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</si>
  <si>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</si>
  <si>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</si>
  <si>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</si>
  <si>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</si>
  <si>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</si>
  <si>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</si>
  <si>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</si>
  <si>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</si>
  <si>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</si>
  <si>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</si>
  <si>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</si>
  <si>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</si>
  <si>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</si>
  <si>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</si>
  <si>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</si>
  <si>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</si>
  <si>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</si>
  <si>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</si>
  <si>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</si>
  <si>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</si>
  <si>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</si>
  <si>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</si>
  <si>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</si>
  <si>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</si>
  <si>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</si>
  <si>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</si>
  <si>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</si>
  <si>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</si>
  <si>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</si>
  <si>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</si>
  <si>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</si>
  <si>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</si>
  <si>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</si>
  <si>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</si>
  <si>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</si>
  <si>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</si>
  <si>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</si>
  <si>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</si>
  <si>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</si>
  <si>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</si>
  <si>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</si>
  <si>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</si>
  <si>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</si>
  <si>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</si>
  <si>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</si>
  <si>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</si>
  <si>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</si>
  <si>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</si>
  <si>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</si>
  <si>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</si>
  <si>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</si>
  <si>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</si>
  <si>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</si>
  <si>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</si>
  <si>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</si>
  <si>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</si>
  <si>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</si>
  <si>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</si>
  <si>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</si>
  <si>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</si>
  <si>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</si>
  <si>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</si>
  <si>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</si>
  <si>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</si>
  <si>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</si>
  <si>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</si>
  <si>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</si>
  <si>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</si>
  <si>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</si>
  <si>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</si>
  <si>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</si>
  <si>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</si>
  <si>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</si>
  <si>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</si>
  <si>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</si>
  <si>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</si>
  <si>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</si>
  <si>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</si>
  <si>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</si>
  <si>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</si>
  <si>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</si>
  <si>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</si>
  <si>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</si>
  <si>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</si>
  <si>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</si>
  <si>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</si>
  <si>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</si>
  <si>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</si>
  <si>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</si>
  <si>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</si>
  <si>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</si>
  <si>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</si>
  <si>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</si>
  <si>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</si>
  <si>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</si>
  <si>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</si>
  <si>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</si>
  <si>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</si>
  <si>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</si>
  <si>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</si>
  <si>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</si>
  <si>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</si>
  <si>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</si>
  <si>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</si>
  <si>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</si>
  <si>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</si>
  <si>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</si>
  <si>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</si>
  <si>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</si>
  <si>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</si>
  <si>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</si>
  <si>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</si>
  <si>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</si>
  <si>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</si>
  <si>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</si>
  <si>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</si>
  <si>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</si>
  <si>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</si>
  <si>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</si>
  <si>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</si>
  <si>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</si>
  <si>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</si>
  <si>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</si>
  <si>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</si>
  <si>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</si>
  <si>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</si>
  <si>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</si>
  <si>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</si>
  <si>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</si>
  <si>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</si>
  <si>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</si>
  <si>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</si>
  <si>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</si>
  <si>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</si>
  <si>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</si>
  <si>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</si>
  <si>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</si>
  <si>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</si>
  <si>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</si>
  <si>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</si>
  <si>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</si>
  <si>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</si>
  <si>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</si>
  <si>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</si>
  <si>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</si>
  <si>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</si>
  <si>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</si>
  <si>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</si>
  <si>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</si>
  <si>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</si>
  <si>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</si>
  <si>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</si>
  <si>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</si>
  <si>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</si>
  <si>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</si>
  <si>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</si>
  <si>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</si>
  <si>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</si>
  <si>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</si>
  <si>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</si>
  <si>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</si>
  <si>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</si>
  <si>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</si>
  <si>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</si>
  <si>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</si>
  <si>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</si>
  <si>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</si>
  <si>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</si>
  <si>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</si>
  <si>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</si>
  <si>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</si>
  <si>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</si>
  <si>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</si>
  <si>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</si>
  <si>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</si>
  <si>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</si>
  <si>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</si>
  <si>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</si>
  <si>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</si>
  <si>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</si>
  <si>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</si>
  <si>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</si>
  <si>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</si>
  <si>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</si>
  <si>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</si>
  <si>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</si>
  <si>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</si>
  <si>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</si>
  <si>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</si>
  <si>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</si>
  <si>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</si>
  <si>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</si>
  <si>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</si>
  <si>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</si>
  <si>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</si>
  <si>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</si>
  <si>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</si>
  <si>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</si>
  <si>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</si>
  <si>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</si>
  <si>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</si>
  <si>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</si>
  <si>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</si>
  <si>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</si>
  <si>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</si>
  <si>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</si>
  <si>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</si>
  <si>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</si>
  <si>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</si>
  <si>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</si>
  <si>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</si>
  <si>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</si>
  <si>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</si>
  <si>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</si>
  <si>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</si>
  <si>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</si>
  <si>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</si>
  <si>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</si>
  <si>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</si>
  <si>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</si>
  <si>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</si>
  <si>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</si>
  <si>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</si>
  <si>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</si>
  <si>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</si>
  <si>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</si>
  <si>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</si>
  <si>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</si>
  <si>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</si>
  <si>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</si>
  <si>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</si>
  <si>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</si>
  <si>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</si>
  <si>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</si>
  <si>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</si>
  <si>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</si>
  <si>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</si>
  <si>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</si>
  <si>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</si>
  <si>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</si>
  <si>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</si>
  <si>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</si>
  <si>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</si>
  <si>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</si>
  <si>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</si>
  <si>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</si>
  <si>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</si>
  <si>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</si>
  <si>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</si>
  <si>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</si>
  <si>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</si>
  <si>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</si>
  <si>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</si>
  <si>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</si>
  <si>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</si>
  <si>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</si>
  <si>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</si>
  <si>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</si>
  <si>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</si>
  <si>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</si>
  <si>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</si>
  <si>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</si>
  <si>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</si>
  <si>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</si>
  <si>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</si>
  <si>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</si>
  <si>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</si>
  <si>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</si>
  <si>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</si>
  <si>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</si>
  <si>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</si>
  <si>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</si>
  <si>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</si>
  <si>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</si>
  <si>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</si>
  <si>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</si>
  <si>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</si>
  <si>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</si>
  <si>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</si>
  <si>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</si>
  <si>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</si>
  <si>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</si>
  <si>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</si>
  <si>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</si>
  <si>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</si>
  <si>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</si>
  <si>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</si>
  <si>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</si>
  <si>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</si>
  <si>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</si>
  <si>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</si>
  <si>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</si>
  <si>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</si>
  <si>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</si>
  <si>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</si>
  <si>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</si>
  <si>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</si>
  <si>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</si>
  <si>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</si>
  <si>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</si>
  <si>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</si>
  <si>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</si>
  <si>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</si>
  <si>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</si>
  <si>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</si>
  <si>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</si>
  <si>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</si>
  <si>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</si>
  <si>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</si>
  <si>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</si>
  <si>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</si>
  <si>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</si>
  <si>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</si>
  <si>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</si>
  <si>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</si>
  <si>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</si>
  <si>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</si>
  <si>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</si>
  <si>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</si>
  <si>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</si>
  <si>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</si>
  <si>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</si>
  <si>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</si>
  <si>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</si>
  <si>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</si>
  <si>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</si>
  <si>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</si>
  <si>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</si>
  <si>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</si>
  <si>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</si>
  <si>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</si>
  <si>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</si>
  <si>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</si>
  <si>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</si>
  <si>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</si>
  <si>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</si>
  <si>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</si>
  <si>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</si>
  <si>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</si>
  <si>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</si>
  <si>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</si>
  <si>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</si>
  <si>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</si>
  <si>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</si>
  <si>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</si>
  <si>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</si>
  <si>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</si>
  <si>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</si>
  <si>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</si>
  <si>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</si>
  <si>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</si>
  <si>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</si>
  <si>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</si>
  <si>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</si>
  <si>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</si>
  <si>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</si>
  <si>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</si>
  <si>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</si>
  <si>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</si>
  <si>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</si>
  <si>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</si>
  <si>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</si>
  <si>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</si>
  <si>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</si>
  <si>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</si>
  <si>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</si>
  <si>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</si>
  <si>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</si>
  <si>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</si>
  <si>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</si>
  <si>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</si>
  <si>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</si>
  <si>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</si>
  <si>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</si>
  <si>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</si>
  <si>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</si>
  <si>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</si>
  <si>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</si>
  <si>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</si>
  <si>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</si>
  <si>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</si>
  <si>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</si>
  <si>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</si>
  <si>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</si>
  <si>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</si>
  <si>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</si>
  <si>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</si>
  <si>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</si>
  <si>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</si>
  <si>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</si>
  <si>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</si>
  <si>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</si>
  <si>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</si>
  <si>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</si>
  <si>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</si>
  <si>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</si>
  <si>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</si>
  <si>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</si>
  <si>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</si>
  <si>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</si>
  <si>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</si>
  <si>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</si>
  <si>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</si>
  <si>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</si>
  <si>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</si>
  <si>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</si>
  <si>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</si>
  <si>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</si>
  <si>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</si>
  <si>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</si>
  <si>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</si>
  <si>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</si>
  <si>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</si>
  <si>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</si>
  <si>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</si>
  <si>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</si>
  <si>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</si>
  <si>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</si>
  <si>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</si>
  <si>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</si>
  <si>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</si>
  <si>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</si>
  <si>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</si>
  <si>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</si>
  <si>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</si>
  <si>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</si>
  <si>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</si>
  <si>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</si>
  <si>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</si>
  <si>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</si>
  <si>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</si>
  <si>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</si>
  <si>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</si>
  <si>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</si>
  <si>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</si>
  <si>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</si>
  <si>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</si>
  <si>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</si>
  <si>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</si>
  <si>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</si>
  <si>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</si>
  <si>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</si>
  <si>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</si>
  <si>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</si>
  <si>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</si>
  <si>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</si>
  <si>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</si>
  <si>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</si>
  <si>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</si>
  <si>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</si>
  <si>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</si>
  <si>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</si>
  <si>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</si>
  <si>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</si>
  <si>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</si>
  <si>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</si>
  <si>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</si>
  <si>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</si>
  <si>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</si>
  <si>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</si>
  <si>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</si>
  <si>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</si>
  <si>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</si>
  <si>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</si>
  <si>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</si>
  <si>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</si>
  <si>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</si>
  <si>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</si>
  <si>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</si>
  <si>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</si>
  <si>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</si>
  <si>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</si>
  <si>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</si>
  <si>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</si>
  <si>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</si>
  <si>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</si>
  <si>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</si>
  <si>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</si>
  <si>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</si>
  <si>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</si>
  <si>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</si>
  <si>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</si>
  <si>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</si>
  <si>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</si>
  <si>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</si>
  <si>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</si>
  <si>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</si>
  <si>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</si>
  <si>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</si>
  <si>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</si>
  <si>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</si>
  <si>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</si>
  <si>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</si>
  <si>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</si>
  <si>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</si>
  <si>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</si>
  <si>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</si>
  <si>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</si>
  <si>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</si>
  <si>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</si>
  <si>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</si>
  <si>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</si>
  <si>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</si>
  <si>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</si>
  <si>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</si>
  <si>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</si>
  <si>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</si>
  <si>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</si>
  <si>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</si>
  <si>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</si>
  <si>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</si>
  <si>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</si>
  <si>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</si>
  <si>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</si>
  <si>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</si>
  <si>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</si>
  <si>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</si>
  <si>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</si>
  <si>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</si>
  <si>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</si>
  <si>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</si>
  <si>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</si>
  <si>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</si>
  <si>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</si>
  <si>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</si>
  <si>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</si>
  <si>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</si>
  <si>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</si>
  <si>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</si>
  <si>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</si>
  <si>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</si>
  <si>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</si>
  <si>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</si>
  <si>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</si>
  <si>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</si>
  <si>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</si>
  <si>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</si>
  <si>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</si>
  <si>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</si>
  <si>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</si>
  <si>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</si>
  <si>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</si>
  <si>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</si>
  <si>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</si>
  <si>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</si>
  <si>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</si>
  <si>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</si>
  <si>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</si>
  <si>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</si>
  <si>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</si>
  <si>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</si>
  <si>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</si>
  <si>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</si>
  <si>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</si>
  <si>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</si>
  <si>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</si>
  <si>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</si>
  <si>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</si>
  <si>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</si>
  <si>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</si>
  <si>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</si>
  <si>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</si>
  <si>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</si>
  <si>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</si>
  <si>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</si>
  <si>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</si>
  <si>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</si>
  <si>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</si>
  <si>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</si>
  <si>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</si>
  <si>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</si>
  <si>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</si>
  <si>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</si>
  <si>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</si>
  <si>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</si>
  <si>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</si>
  <si>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</si>
  <si>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</si>
  <si>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</si>
  <si>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</si>
  <si>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</si>
  <si>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</si>
  <si>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</si>
  <si>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</si>
  <si>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</si>
  <si>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</si>
  <si>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</si>
  <si>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</si>
  <si>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</si>
  <si>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</si>
  <si>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</si>
  <si>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</si>
  <si>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</si>
  <si>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</si>
  <si>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</si>
  <si>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</si>
  <si>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</si>
  <si>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</si>
  <si>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</si>
  <si>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</si>
  <si>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</si>
  <si>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</si>
  <si>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</si>
  <si>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</si>
  <si>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</si>
  <si>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</si>
  <si>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</si>
  <si>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</si>
  <si>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</si>
  <si>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</si>
  <si>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</si>
  <si>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</si>
  <si>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</si>
  <si>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</si>
  <si>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</si>
  <si>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</si>
  <si>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</si>
  <si>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</si>
  <si>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</si>
  <si>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</si>
  <si>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</si>
  <si>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</si>
  <si>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</si>
  <si>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</si>
  <si>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</si>
  <si>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</si>
  <si>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</si>
  <si>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</si>
  <si>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</si>
  <si>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</si>
  <si>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</si>
  <si>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</si>
  <si>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</si>
  <si>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</si>
  <si>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</si>
  <si>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</si>
  <si>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</si>
  <si>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</si>
  <si>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</si>
  <si>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</si>
  <si>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</si>
  <si>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</si>
  <si>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</si>
  <si>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</si>
  <si>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</si>
  <si>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</si>
  <si>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</si>
  <si>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</si>
  <si>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</si>
  <si>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</si>
  <si>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</si>
  <si>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</si>
  <si>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</si>
  <si>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</si>
  <si>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</si>
  <si>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</si>
  <si>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</si>
  <si>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</si>
  <si>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</si>
  <si>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</si>
  <si>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</si>
  <si>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</si>
  <si>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</si>
  <si>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</si>
  <si>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</si>
  <si>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</si>
  <si>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</si>
  <si>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</si>
  <si>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</si>
  <si>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</si>
  <si>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</si>
  <si>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</si>
  <si>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</si>
  <si>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</si>
  <si>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</si>
  <si>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</si>
  <si>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</si>
  <si>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</si>
  <si>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</si>
  <si>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</si>
  <si>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</si>
  <si>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</si>
  <si>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</si>
  <si>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</si>
  <si>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</si>
  <si>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</si>
  <si>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</si>
  <si>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</si>
  <si>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</si>
  <si>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</si>
  <si>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</si>
  <si>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</si>
  <si>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</si>
  <si>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</si>
  <si>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</si>
  <si>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</si>
  <si>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</si>
  <si>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</si>
  <si>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</si>
  <si>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</si>
  <si>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</si>
  <si>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</si>
  <si>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</si>
  <si>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</si>
  <si>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</si>
  <si>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</si>
  <si>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</si>
  <si>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</si>
  <si>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</si>
  <si>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</si>
  <si>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</si>
  <si>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</si>
  <si>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</si>
  <si>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</si>
  <si>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</si>
  <si>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</si>
  <si>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</si>
  <si>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</si>
  <si>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</si>
  <si>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</si>
  <si>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</si>
  <si>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</si>
  <si>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</si>
  <si>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</si>
  <si>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</si>
  <si>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</si>
  <si>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</si>
  <si>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</si>
  <si>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</si>
  <si>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</si>
  <si>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</si>
  <si>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</si>
  <si>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</si>
  <si>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</si>
  <si>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</si>
  <si>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</si>
  <si>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</si>
  <si>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</si>
  <si>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</si>
  <si>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</si>
  <si>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</si>
  <si>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</si>
  <si>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</si>
  <si>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</si>
  <si>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</si>
  <si>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</si>
  <si>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</si>
  <si>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</si>
  <si>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</si>
  <si>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</si>
  <si>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</si>
  <si>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</si>
  <si>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</si>
  <si>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</si>
  <si>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</si>
  <si>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</si>
  <si>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</si>
  <si>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</si>
  <si>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</si>
  <si>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</si>
  <si>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</si>
  <si>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</si>
  <si>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</si>
  <si>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</si>
  <si>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</si>
  <si>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</si>
  <si>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</si>
  <si>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</si>
  <si>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</si>
  <si>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</si>
  <si>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</si>
  <si>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</si>
  <si>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</si>
  <si>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</si>
  <si>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</si>
  <si>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</si>
  <si>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</si>
  <si>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</si>
  <si>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</si>
  <si>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</si>
  <si>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</si>
  <si>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</si>
  <si>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</si>
  <si>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</si>
  <si>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</si>
  <si>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</si>
  <si>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</si>
  <si>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</si>
  <si>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</si>
  <si>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</si>
  <si>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</si>
  <si>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</si>
  <si>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</si>
  <si>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</si>
  <si>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</si>
  <si>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</si>
  <si>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</si>
  <si>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</si>
  <si>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</si>
  <si>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</si>
  <si>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</si>
  <si>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</si>
  <si>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</si>
  <si>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</si>
  <si>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</si>
  <si>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</si>
  <si>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</si>
  <si>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</si>
  <si>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</si>
  <si>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</si>
  <si>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</si>
  <si>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</si>
  <si>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</si>
  <si>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</si>
  <si>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</si>
  <si>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</si>
  <si>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</si>
  <si>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</si>
  <si>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</si>
  <si>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</si>
  <si>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</si>
  <si>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</si>
  <si>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</si>
  <si>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</si>
  <si>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</si>
  <si>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</si>
  <si>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</si>
  <si>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</si>
  <si>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</si>
  <si>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</si>
  <si>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</si>
  <si>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</si>
  <si>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</si>
  <si>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</si>
  <si>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</si>
  <si>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</si>
  <si>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</si>
  <si>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</si>
  <si>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</si>
  <si>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</si>
  <si>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</si>
  <si>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</si>
  <si>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</si>
  <si>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</si>
  <si>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</si>
  <si>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</si>
  <si>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</si>
  <si>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</si>
  <si>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</si>
  <si>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</si>
  <si>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</si>
  <si>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</si>
  <si>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</si>
  <si>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</si>
  <si>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</si>
  <si>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</si>
  <si>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</si>
  <si>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</si>
  <si>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</si>
  <si>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</si>
  <si>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</si>
  <si>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</si>
  <si>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</si>
  <si>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</si>
  <si>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</si>
  <si>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</si>
  <si>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</si>
  <si>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</si>
  <si>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</si>
  <si>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</si>
  <si>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</si>
  <si>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</si>
  <si>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</si>
  <si>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</si>
  <si>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</si>
  <si>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</si>
  <si>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</si>
  <si>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</si>
  <si>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</si>
  <si>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</si>
  <si>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</si>
  <si>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</si>
  <si>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</si>
  <si>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</si>
  <si>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</si>
  <si>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</si>
  <si>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</si>
  <si>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</si>
  <si>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</si>
  <si>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</si>
  <si>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</si>
  <si>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</si>
  <si>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</si>
  <si>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</si>
  <si>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</si>
  <si>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</si>
  <si>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</si>
  <si>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</si>
  <si>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</si>
  <si>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</si>
  <si>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</si>
  <si>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</si>
  <si>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</si>
  <si>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</si>
  <si>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</si>
  <si>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</si>
  <si>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</si>
  <si>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</si>
  <si>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</si>
  <si>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</si>
  <si>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</si>
  <si>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</si>
  <si>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</si>
  <si>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</si>
  <si>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</si>
  <si>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</si>
  <si>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</si>
  <si>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</si>
  <si>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</si>
  <si>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</si>
  <si>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</si>
  <si>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</si>
  <si>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</si>
  <si>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</si>
  <si>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</si>
  <si>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</si>
  <si>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</si>
  <si>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</si>
  <si>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</si>
  <si>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</si>
  <si>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</si>
  <si>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</si>
  <si>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</si>
  <si>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</si>
  <si>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</si>
  <si>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</si>
  <si>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</si>
  <si>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</si>
  <si>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</si>
  <si>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</si>
  <si>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</si>
  <si>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</si>
  <si>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</si>
  <si>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</si>
  <si>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</si>
  <si>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</si>
  <si>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</si>
  <si>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</si>
  <si>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</si>
  <si>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</si>
  <si>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</si>
  <si>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</si>
  <si>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</si>
  <si>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</si>
  <si>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</si>
  <si>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</si>
  <si>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</si>
  <si>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</si>
  <si>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</si>
  <si>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</si>
  <si>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</si>
  <si>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</si>
  <si>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</si>
  <si>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</si>
  <si>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</si>
  <si>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</si>
  <si>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</si>
  <si>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</si>
  <si>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</si>
  <si>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</si>
  <si>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</si>
  <si>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</si>
  <si>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</si>
  <si>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</si>
  <si>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</si>
  <si>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</si>
  <si>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</si>
  <si>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</si>
  <si>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</si>
  <si>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</si>
  <si>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</si>
  <si>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</si>
  <si>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</si>
  <si>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</si>
  <si>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</si>
  <si>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</si>
  <si>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</si>
  <si>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</si>
  <si>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</si>
  <si>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</si>
  <si>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</si>
  <si>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</si>
  <si>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</si>
  <si>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</si>
  <si>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</si>
  <si>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</si>
  <si>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</si>
  <si>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</si>
  <si>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</si>
  <si>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</si>
  <si>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</si>
  <si>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</si>
  <si>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</si>
  <si>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</si>
  <si>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</si>
  <si>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</si>
  <si>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</si>
  <si>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</si>
  <si>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</si>
  <si>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</si>
  <si>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</si>
  <si>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</si>
  <si>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</si>
  <si>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</si>
  <si>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</si>
  <si>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</si>
  <si>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</si>
  <si>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</si>
  <si>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</si>
  <si>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</si>
  <si>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</si>
  <si>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</si>
  <si>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</si>
  <si>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</si>
  <si>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</si>
  <si>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</si>
  <si>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</si>
  <si>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</si>
  <si>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</si>
  <si>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</si>
  <si>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</si>
  <si>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</si>
  <si>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</si>
  <si>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</si>
  <si>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</si>
  <si>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</si>
  <si>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</si>
  <si>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</si>
  <si>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</si>
  <si>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</si>
  <si>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</si>
  <si>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</si>
  <si>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</si>
  <si>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</si>
  <si>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</si>
  <si>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</si>
  <si>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</si>
  <si>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</si>
  <si>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</si>
  <si>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</si>
  <si>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</si>
  <si>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</si>
  <si>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</si>
  <si>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</si>
  <si>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</si>
  <si>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</si>
  <si>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</si>
  <si>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</si>
  <si>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</si>
  <si>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</si>
  <si>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</si>
  <si>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</si>
  <si>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</si>
  <si>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</si>
  <si>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</si>
  <si>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</si>
  <si>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</si>
  <si>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</si>
  <si>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</si>
  <si>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</si>
  <si>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</si>
  <si>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</si>
  <si>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</si>
  <si>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</si>
  <si>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</si>
  <si>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</si>
  <si>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</si>
  <si>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</si>
  <si>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</si>
  <si>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</si>
  <si>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</si>
  <si>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</si>
  <si>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</si>
  <si>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</si>
  <si>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</si>
  <si>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</si>
  <si>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</si>
  <si>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</si>
  <si>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</si>
  <si>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</si>
  <si>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</si>
  <si>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</si>
  <si>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</si>
  <si>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</si>
  <si>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</si>
  <si>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</si>
  <si>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</si>
  <si>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</si>
  <si>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</si>
  <si>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</si>
  <si>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</si>
  <si>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</si>
  <si>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</si>
  <si>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</si>
  <si>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</si>
  <si>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</si>
  <si>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</si>
  <si>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</si>
  <si>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</si>
  <si>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</si>
  <si>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</si>
  <si>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</si>
  <si>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</si>
  <si>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</si>
  <si>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</si>
  <si>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</si>
  <si>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</si>
  <si>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</si>
  <si>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</si>
  <si>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</si>
  <si>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</si>
  <si>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</si>
  <si>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</si>
  <si>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</si>
  <si>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</si>
  <si>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</si>
  <si>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</si>
  <si>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</si>
  <si>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</si>
  <si>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</si>
  <si>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</si>
  <si>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</si>
  <si>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</si>
  <si>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</si>
  <si>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</si>
  <si>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</si>
  <si>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</si>
  <si>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</si>
  <si>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</si>
  <si>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</si>
  <si>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</si>
  <si>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</si>
  <si>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</si>
  <si>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</si>
  <si>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</si>
  <si>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</si>
  <si>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</si>
  <si>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</si>
  <si>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</si>
  <si>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</si>
  <si>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</si>
  <si>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</si>
  <si>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</si>
  <si>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</si>
  <si>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</si>
  <si>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</si>
  <si>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</si>
  <si>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</si>
  <si>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</si>
  <si>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</si>
  <si>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</si>
  <si>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</si>
  <si>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</si>
  <si>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</si>
  <si>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</si>
  <si>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</si>
  <si>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</si>
  <si>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</si>
  <si>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</si>
  <si>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</si>
  <si>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</si>
  <si>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</si>
  <si>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</si>
  <si>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</si>
  <si>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</si>
  <si>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</si>
  <si>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</si>
  <si>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</si>
  <si>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</si>
  <si>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</si>
  <si>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</si>
  <si>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</si>
  <si>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</si>
  <si>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</si>
  <si>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</si>
  <si>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</si>
  <si>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</si>
  <si>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</si>
  <si>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</si>
  <si>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</si>
  <si>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</si>
  <si>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</si>
  <si>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</si>
  <si>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</si>
  <si>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</si>
  <si>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</si>
  <si>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</si>
  <si>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</si>
  <si>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</si>
  <si>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</si>
  <si>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</si>
  <si>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</si>
  <si>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</si>
  <si>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</si>
  <si>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</si>
  <si>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</si>
  <si>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</si>
  <si>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</si>
  <si>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</si>
  <si>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</si>
  <si>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</si>
  <si>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</si>
  <si>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</si>
  <si>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</si>
  <si>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</si>
  <si>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</si>
  <si>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</si>
  <si>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</si>
  <si>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</si>
  <si>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</si>
  <si>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</si>
  <si>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</si>
  <si>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</si>
  <si>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</si>
  <si>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</si>
  <si>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</si>
  <si>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</si>
  <si>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</si>
  <si>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</si>
  <si>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</si>
  <si>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</si>
  <si>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</si>
  <si>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</si>
  <si>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</si>
  <si>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</si>
  <si>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</si>
  <si>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</si>
  <si>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</si>
  <si>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</si>
  <si>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</si>
  <si>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</si>
  <si>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</si>
  <si>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</si>
  <si>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</si>
  <si>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</si>
  <si>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</si>
  <si>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</si>
  <si>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</si>
  <si>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</si>
  <si>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</si>
  <si>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</si>
  <si>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</si>
  <si>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</si>
  <si>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</si>
  <si>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</si>
  <si>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</si>
  <si>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</si>
  <si>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</si>
  <si>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</si>
  <si>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</si>
  <si>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</si>
  <si>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</si>
  <si>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</si>
  <si>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</si>
  <si>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</si>
  <si>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</si>
  <si>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</si>
  <si>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</si>
  <si>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</si>
  <si>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</si>
  <si>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</si>
  <si>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</si>
  <si>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</si>
  <si>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</si>
  <si>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</si>
  <si>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</si>
  <si>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</si>
  <si>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</si>
  <si>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</si>
  <si>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</si>
  <si>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</si>
  <si>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</si>
  <si>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</si>
  <si>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</si>
  <si>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</si>
  <si>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</si>
  <si>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</si>
  <si>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</si>
  <si>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</si>
  <si>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</si>
  <si>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</si>
  <si>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</si>
  <si>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</si>
  <si>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</si>
  <si>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</si>
  <si>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</si>
  <si>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</si>
  <si>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</si>
  <si>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</si>
  <si>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</si>
  <si>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</si>
  <si>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</si>
  <si>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</si>
  <si>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</si>
  <si>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</si>
  <si>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</si>
  <si>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</si>
  <si>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</si>
  <si>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</si>
  <si>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</si>
  <si>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</si>
  <si>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</si>
  <si>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</si>
  <si>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</si>
  <si>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</si>
  <si>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</si>
  <si>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</si>
  <si>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</si>
  <si>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</si>
  <si>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</si>
  <si>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</si>
  <si>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</si>
  <si>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</si>
  <si>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</si>
  <si>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</si>
  <si>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</si>
  <si>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</si>
  <si>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</si>
  <si>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</si>
  <si>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</si>
  <si>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</si>
  <si>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</si>
  <si>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</si>
  <si>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</si>
  <si>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</si>
  <si>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</si>
  <si>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</si>
  <si>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</si>
  <si>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</si>
  <si>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</si>
  <si>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</si>
  <si>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</si>
  <si>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</si>
  <si>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</si>
  <si>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</si>
  <si>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</si>
  <si>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</si>
  <si>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</si>
  <si>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</si>
  <si>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</si>
  <si>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</si>
  <si>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</si>
  <si>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</si>
  <si>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</si>
  <si>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</si>
  <si>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</si>
  <si>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</si>
  <si>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</si>
  <si>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</si>
  <si>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</si>
  <si>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</si>
  <si>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</si>
  <si>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</si>
  <si>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</si>
  <si>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</si>
  <si>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</si>
  <si>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</si>
  <si>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</si>
  <si>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</si>
  <si>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</si>
  <si>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</si>
  <si>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</si>
  <si>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</si>
  <si>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</si>
  <si>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</si>
  <si>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</si>
  <si>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</si>
  <si>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</si>
  <si>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</si>
  <si>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</si>
  <si>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</si>
  <si>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</si>
  <si>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</si>
  <si>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</si>
  <si>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</si>
  <si>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</si>
  <si>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</si>
  <si>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</si>
  <si>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</si>
  <si>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</si>
  <si>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</si>
  <si>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</si>
  <si>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</si>
  <si>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</si>
  <si>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</si>
  <si>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</si>
  <si>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</si>
  <si>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</si>
  <si>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</si>
  <si>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</si>
  <si>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</si>
  <si>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</si>
  <si>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</si>
  <si>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</si>
  <si>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</si>
  <si>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</si>
  <si>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</si>
  <si>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</si>
  <si>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</si>
  <si>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</si>
  <si>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</si>
  <si>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</si>
  <si>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</si>
  <si>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</si>
  <si>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</si>
  <si>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</si>
  <si>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</si>
  <si>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</si>
  <si>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</si>
  <si>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</si>
  <si>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</si>
  <si>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</si>
  <si>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</si>
  <si>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</si>
  <si>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</si>
  <si>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</si>
  <si>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</si>
  <si>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</si>
  <si>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</si>
  <si>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</si>
  <si>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</si>
  <si>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</si>
  <si>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</si>
  <si>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</si>
  <si>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</si>
  <si>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</si>
  <si>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</si>
  <si>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</si>
  <si>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</si>
  <si>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</si>
  <si>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</si>
  <si>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</si>
  <si>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</si>
  <si>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</si>
  <si>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</si>
  <si>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</si>
  <si>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</si>
  <si>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</si>
  <si>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</si>
  <si>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</si>
  <si>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</si>
  <si>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</si>
  <si>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</si>
  <si>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</si>
  <si>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</si>
  <si>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</si>
  <si>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</si>
  <si>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</si>
  <si>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</si>
  <si>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</si>
  <si>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</si>
  <si>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</si>
  <si>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</si>
  <si>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</si>
  <si>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</si>
  <si>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</si>
  <si>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</si>
  <si>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</si>
  <si>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</si>
  <si>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</si>
  <si>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</si>
  <si>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</si>
  <si>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</si>
  <si>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</si>
  <si>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</si>
  <si>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</si>
  <si>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</si>
  <si>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</si>
  <si>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</si>
  <si>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</si>
  <si>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</si>
  <si>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</si>
  <si>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</si>
  <si>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</si>
  <si>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</si>
  <si>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</si>
  <si>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</si>
  <si>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</si>
  <si>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</si>
  <si>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</si>
  <si>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</si>
  <si>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</si>
  <si>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</si>
  <si>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</si>
  <si>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</si>
  <si>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</si>
  <si>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</si>
  <si>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</si>
  <si>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</si>
  <si>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</si>
  <si>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</si>
  <si>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</si>
  <si>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</si>
  <si>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</si>
  <si>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</si>
  <si>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</si>
  <si>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</si>
  <si>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</si>
  <si>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</si>
  <si>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</si>
  <si>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</si>
  <si>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</si>
  <si>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</si>
  <si>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</si>
  <si>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</si>
  <si>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</si>
  <si>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</si>
  <si>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</si>
  <si>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</si>
  <si>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</si>
  <si>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</si>
  <si>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</si>
  <si>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</si>
  <si>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</si>
  <si>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</si>
  <si>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</si>
  <si>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</si>
  <si>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</si>
  <si>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</si>
  <si>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</si>
  <si>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</si>
  <si>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</si>
  <si>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</si>
  <si>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</si>
  <si>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</si>
  <si>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</si>
  <si>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</si>
  <si>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</si>
  <si>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</si>
  <si>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</si>
  <si>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</si>
  <si>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</si>
  <si>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</si>
  <si>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</si>
  <si>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</si>
  <si>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</si>
  <si>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</si>
  <si>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</si>
  <si>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</si>
  <si>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</si>
  <si>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</si>
  <si>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</si>
  <si>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</si>
  <si>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</si>
  <si>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</si>
  <si>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</si>
  <si>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</si>
  <si>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</si>
  <si>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</si>
  <si>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</si>
  <si>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</si>
  <si>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</si>
  <si>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</si>
  <si>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</si>
  <si>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</si>
  <si>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</si>
  <si>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</si>
  <si>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</si>
  <si>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</si>
  <si>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</si>
  <si>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</si>
  <si>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</si>
  <si>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</si>
  <si>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</si>
  <si>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</si>
  <si>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</si>
  <si>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</si>
  <si>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</si>
  <si>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</si>
  <si>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</si>
  <si>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</si>
  <si>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</si>
  <si>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</si>
  <si>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</si>
  <si>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</si>
  <si>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</si>
  <si>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</si>
  <si>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</si>
  <si>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</si>
  <si>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</si>
  <si>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</si>
  <si>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</si>
  <si>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</si>
  <si>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</si>
  <si>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</si>
  <si>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</si>
  <si>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</si>
  <si>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</si>
  <si>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</si>
  <si>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</si>
  <si>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</si>
  <si>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</si>
  <si>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</si>
  <si>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</si>
  <si>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</si>
  <si>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</si>
  <si>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</si>
  <si>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</si>
  <si>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</si>
  <si>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</si>
  <si>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</si>
  <si>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</si>
  <si>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</si>
  <si>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</si>
  <si>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</si>
  <si>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</si>
  <si>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</si>
  <si>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</si>
  <si>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</si>
  <si>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</si>
  <si>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</si>
  <si>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</si>
  <si>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</si>
  <si>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</si>
  <si>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</si>
  <si>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</si>
  <si>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</si>
  <si>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</si>
  <si>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</si>
  <si>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</si>
  <si>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</si>
  <si>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</si>
  <si>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</si>
  <si>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</si>
  <si>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</si>
  <si>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</si>
  <si>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</si>
  <si>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</si>
  <si>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</si>
  <si>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</si>
  <si>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</si>
  <si>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</si>
  <si>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</si>
  <si>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</si>
  <si>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</si>
  <si>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</si>
  <si>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</si>
  <si>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</si>
  <si>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</si>
  <si>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</si>
  <si>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</si>
  <si>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</si>
  <si>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</si>
  <si>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</si>
  <si>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</si>
  <si>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</si>
  <si>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</si>
  <si>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</si>
  <si>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</si>
  <si>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</si>
  <si>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</si>
  <si>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</si>
  <si>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</si>
  <si>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</si>
  <si>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</si>
  <si>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</si>
  <si>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</si>
  <si>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</si>
  <si>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</si>
  <si>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</si>
  <si>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</si>
  <si>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</si>
  <si>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</si>
  <si>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</si>
  <si>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</si>
  <si>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</si>
  <si>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</si>
  <si>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</si>
  <si>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</si>
  <si>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</si>
  <si>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</si>
  <si>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</si>
  <si>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</si>
  <si>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</si>
  <si>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</si>
  <si>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</si>
  <si>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</si>
  <si>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</si>
  <si>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</si>
  <si>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</si>
  <si>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</si>
  <si>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</si>
  <si>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</si>
  <si>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</si>
  <si>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</si>
  <si>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</si>
  <si>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</si>
  <si>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</si>
  <si>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</si>
  <si>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</si>
  <si>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</si>
  <si>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</si>
  <si>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</si>
  <si>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</si>
  <si>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</si>
  <si>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</si>
  <si>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</si>
  <si>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</si>
  <si>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</si>
  <si>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</si>
  <si>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</si>
  <si>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</si>
  <si>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</si>
  <si>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</si>
  <si>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</si>
  <si>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</si>
  <si>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</si>
  <si>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</si>
  <si>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</si>
  <si>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</si>
  <si>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</si>
  <si>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</si>
  <si>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</si>
  <si>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</si>
  <si>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</si>
  <si>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</si>
  <si>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</si>
  <si>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</si>
  <si>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</si>
  <si>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</si>
  <si>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</si>
  <si>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</si>
  <si>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</si>
  <si>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</si>
  <si>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</si>
  <si>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</si>
  <si>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</si>
  <si>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</si>
  <si>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</si>
  <si>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</si>
  <si>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</si>
  <si>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</si>
  <si>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</si>
  <si>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</si>
  <si>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</si>
  <si>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</si>
  <si>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</si>
  <si>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</si>
  <si>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</si>
  <si>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</si>
  <si>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</si>
  <si>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</si>
  <si>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</si>
  <si>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</si>
  <si>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</si>
  <si>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</si>
  <si>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</si>
  <si>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</si>
  <si>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</si>
  <si>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</si>
  <si>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</si>
  <si>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</si>
  <si>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</si>
  <si>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</si>
  <si>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</si>
  <si>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</si>
  <si>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</si>
  <si>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</si>
  <si>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</si>
  <si>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</si>
  <si>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</si>
  <si>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</si>
  <si>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</si>
  <si>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</si>
  <si>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</si>
  <si>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</si>
  <si>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</si>
  <si>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</si>
  <si>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</si>
  <si>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</si>
  <si>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</si>
  <si>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</si>
  <si>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</si>
  <si>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</si>
  <si>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</si>
  <si>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</si>
  <si>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</si>
  <si>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</si>
  <si>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</si>
  <si>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</si>
  <si>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</si>
  <si>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</si>
  <si>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</si>
  <si>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</si>
  <si>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</si>
  <si>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</si>
  <si>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</si>
  <si>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</si>
  <si>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</si>
  <si>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</si>
  <si>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</si>
  <si>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</si>
  <si>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</si>
  <si>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</si>
  <si>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</si>
  <si>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</si>
  <si>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</si>
  <si>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</si>
  <si>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</si>
  <si>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</si>
  <si>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</si>
  <si>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</si>
  <si>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</si>
  <si>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</si>
  <si>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</si>
  <si>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</si>
  <si>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</si>
  <si>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</si>
  <si>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</si>
  <si>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</si>
  <si>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</si>
  <si>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</si>
  <si>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</si>
  <si>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</si>
  <si>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</si>
  <si>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</si>
  <si>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</si>
  <si>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</si>
  <si>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</si>
  <si>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</si>
  <si>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</si>
  <si>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</si>
  <si>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</si>
  <si>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</si>
  <si>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</si>
  <si>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</si>
  <si>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</si>
  <si>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</si>
  <si>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</si>
  <si>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</si>
  <si>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</si>
  <si>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</si>
  <si>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</si>
  <si>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</si>
  <si>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</si>
  <si>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</si>
  <si>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</si>
  <si>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</si>
  <si>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</si>
  <si>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</si>
  <si>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</si>
  <si>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</si>
  <si>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</si>
  <si>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</si>
  <si>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</si>
  <si>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</si>
  <si>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</si>
  <si>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</si>
  <si>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</si>
  <si>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</si>
  <si>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</si>
  <si>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</si>
  <si>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</si>
  <si>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</si>
  <si>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</si>
  <si>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</si>
  <si>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</si>
  <si>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</si>
  <si>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</si>
  <si>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</si>
  <si>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</si>
  <si>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</si>
  <si>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</si>
  <si>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</si>
  <si>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</si>
  <si>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</si>
  <si>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</si>
  <si>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</si>
  <si>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</si>
  <si>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</si>
  <si>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</si>
  <si>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</si>
  <si>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</si>
  <si>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</si>
  <si>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</si>
  <si>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</si>
  <si>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</si>
  <si>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</si>
  <si>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</si>
  <si>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</si>
  <si>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</si>
  <si>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</si>
  <si>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</si>
  <si>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</si>
  <si>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</si>
  <si>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</si>
  <si>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</si>
  <si>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</si>
  <si>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</si>
  <si>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</si>
  <si>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</si>
  <si>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</si>
  <si>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</si>
  <si>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</si>
  <si>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</si>
  <si>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</si>
  <si>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</si>
  <si>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</si>
  <si>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</si>
  <si>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</si>
  <si>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</si>
  <si>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</si>
  <si>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</si>
  <si>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</si>
  <si>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</si>
  <si>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</si>
  <si>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</si>
  <si>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</si>
  <si>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</si>
  <si>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</si>
  <si>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</si>
  <si>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</si>
  <si>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</si>
  <si>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</si>
  <si>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</si>
  <si>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</si>
  <si>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</si>
  <si>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</si>
  <si>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</si>
  <si>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</si>
  <si>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</si>
  <si>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</si>
  <si>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</si>
  <si>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</si>
  <si>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</si>
  <si>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</si>
  <si>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</si>
  <si>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</si>
  <si>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</si>
  <si>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</si>
  <si>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</si>
  <si>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</si>
  <si>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</si>
  <si>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</si>
  <si>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</si>
  <si>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</si>
  <si>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</si>
  <si>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</si>
  <si>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</si>
  <si>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</si>
  <si>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</si>
  <si>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</si>
  <si>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</si>
  <si>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</si>
  <si>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</si>
  <si>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</si>
  <si>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</si>
  <si>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</si>
  <si>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</si>
  <si>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</si>
  <si>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</si>
  <si>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</si>
  <si>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</si>
  <si>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</si>
  <si>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</si>
  <si>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</si>
  <si>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</si>
  <si>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</si>
  <si>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</si>
  <si>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</si>
  <si>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</si>
  <si>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</si>
  <si>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</si>
  <si>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</si>
  <si>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</si>
  <si>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</si>
  <si>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</si>
  <si>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</si>
  <si>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</si>
  <si>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</si>
  <si>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</si>
  <si>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</si>
  <si>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</si>
  <si>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</si>
  <si>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</si>
  <si>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</si>
  <si>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</si>
  <si>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</si>
  <si>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</si>
  <si>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</si>
  <si>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</si>
  <si>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</si>
  <si>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</si>
  <si>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</si>
  <si>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</si>
  <si>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</si>
  <si>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</si>
  <si>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</si>
  <si>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</si>
  <si>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</si>
  <si>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</si>
  <si>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</si>
  <si>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</si>
  <si>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</si>
  <si>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</si>
  <si>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</si>
  <si>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</si>
  <si>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</si>
  <si>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</si>
  <si>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</si>
  <si>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</si>
  <si>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</si>
  <si>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</si>
  <si>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</si>
  <si>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</si>
  <si>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</si>
  <si>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</si>
  <si>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</si>
  <si>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</si>
  <si>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</si>
  <si>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</si>
  <si>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</si>
  <si>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</si>
  <si>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</si>
  <si>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</si>
  <si>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</si>
  <si>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</si>
  <si>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</si>
  <si>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</si>
  <si>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</si>
  <si>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</si>
  <si>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</si>
  <si>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</si>
  <si>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</si>
  <si>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</si>
  <si>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</si>
  <si>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</si>
  <si>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</si>
  <si>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</si>
  <si>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</si>
  <si>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</si>
  <si>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</si>
  <si>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</si>
  <si>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</si>
  <si>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</si>
  <si>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</si>
  <si>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</si>
  <si>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</si>
  <si>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</si>
  <si>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</si>
  <si>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</si>
  <si>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</si>
  <si>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</si>
  <si>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</si>
  <si>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</si>
  <si>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</si>
  <si>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</si>
  <si>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</si>
  <si>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</si>
  <si>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</si>
  <si>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</si>
  <si>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</si>
  <si>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</si>
  <si>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</si>
  <si>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</si>
  <si>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</si>
  <si>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</si>
  <si>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</si>
  <si>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</si>
  <si>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</si>
  <si>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</si>
  <si>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</si>
  <si>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</si>
  <si>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</si>
  <si>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</si>
  <si>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</si>
  <si>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</si>
  <si>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</si>
  <si>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</si>
  <si>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</si>
  <si>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</si>
  <si>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</si>
  <si>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</si>
  <si>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</si>
  <si>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</si>
  <si>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</si>
  <si>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</si>
  <si>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</si>
  <si>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</si>
  <si>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</si>
  <si>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</si>
  <si>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</si>
  <si>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</si>
  <si>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</si>
  <si>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</si>
  <si>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</si>
  <si>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</si>
  <si>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</si>
  <si>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</si>
  <si>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</si>
  <si>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</si>
  <si>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</si>
  <si>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</si>
  <si>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</si>
  <si>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</si>
  <si>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</si>
  <si>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</si>
  <si>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</si>
  <si>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</si>
  <si>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</si>
  <si>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</si>
  <si>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</si>
  <si>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</si>
  <si>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</si>
  <si>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</si>
  <si>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</si>
  <si>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</si>
  <si>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</si>
  <si>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</si>
  <si>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</si>
  <si>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</si>
  <si>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</si>
  <si>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</si>
  <si>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</si>
  <si>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</si>
  <si>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</si>
  <si>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</si>
  <si>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</si>
  <si>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</si>
  <si>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</si>
  <si>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</si>
  <si>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</si>
  <si>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</si>
  <si>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</si>
  <si>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</si>
  <si>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</si>
  <si>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</si>
  <si>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</si>
  <si>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</si>
  <si>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</si>
  <si>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</si>
  <si>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</si>
  <si>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</si>
  <si>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</si>
  <si>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</si>
  <si>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</si>
  <si>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</si>
  <si>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</si>
  <si>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</si>
  <si>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</si>
  <si>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</si>
  <si>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</si>
  <si>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</si>
  <si>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</si>
  <si>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</si>
  <si>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</si>
  <si>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</si>
  <si>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</si>
  <si>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</si>
  <si>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</si>
  <si>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</si>
  <si>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</si>
  <si>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</si>
  <si>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</si>
  <si>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</si>
  <si>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</si>
  <si>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</si>
  <si>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</si>
  <si>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</si>
  <si>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</si>
  <si>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</si>
  <si>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</si>
  <si>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</si>
  <si>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</si>
  <si>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</si>
  <si>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</si>
  <si>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</si>
  <si>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</si>
  <si>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</si>
  <si>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</si>
  <si>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</si>
  <si>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</si>
  <si>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</si>
  <si>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</si>
  <si>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</si>
  <si>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</si>
  <si>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</si>
  <si>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</si>
  <si>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</si>
  <si>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</si>
  <si>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</si>
  <si>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</si>
  <si>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</si>
  <si>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</si>
  <si>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</si>
  <si>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</si>
  <si>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</si>
  <si>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</si>
  <si>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</si>
  <si>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</si>
  <si>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</si>
  <si>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</si>
  <si>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</si>
  <si>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</si>
  <si>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</si>
  <si>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</si>
  <si>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</si>
  <si>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</si>
  <si>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</si>
  <si>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</si>
  <si>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</si>
  <si>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</si>
  <si>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</si>
  <si>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</si>
  <si>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</si>
  <si>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</si>
  <si>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</si>
  <si>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</si>
  <si>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</si>
  <si>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</si>
  <si>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</si>
  <si>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</si>
  <si>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</si>
  <si>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</si>
  <si>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</si>
  <si>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</si>
  <si>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</si>
  <si>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</si>
  <si>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</si>
  <si>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</si>
  <si>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</si>
  <si>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</si>
  <si>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</si>
  <si>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</si>
  <si>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</si>
  <si>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</si>
  <si>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</si>
  <si>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</si>
  <si>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</si>
  <si>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</si>
  <si>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</si>
  <si>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</si>
  <si>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</si>
  <si>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</si>
  <si>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</si>
  <si>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</si>
  <si>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</si>
  <si>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</si>
  <si>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</si>
  <si>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</si>
  <si>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</si>
  <si>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</si>
  <si>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</si>
  <si>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</si>
  <si>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</si>
  <si>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</si>
  <si>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</si>
  <si>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</si>
  <si>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</si>
  <si>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</si>
  <si>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</si>
  <si>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</si>
  <si>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</si>
  <si>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</si>
  <si>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</si>
  <si>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</si>
  <si>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</si>
  <si>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</si>
  <si>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</si>
  <si>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</si>
  <si>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</si>
  <si>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</si>
  <si>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</si>
  <si>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</si>
  <si>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</si>
  <si>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</si>
  <si>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</si>
  <si>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</si>
  <si>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</si>
  <si>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</si>
  <si>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</si>
  <si>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</si>
  <si>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</si>
  <si>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</si>
  <si>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</si>
  <si>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</si>
  <si>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</si>
  <si>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</si>
  <si>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</si>
  <si>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</si>
  <si>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</si>
  <si>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</si>
  <si>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</si>
  <si>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</si>
  <si>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</si>
  <si>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</si>
  <si>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</si>
  <si>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</si>
  <si>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</si>
  <si>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</si>
  <si>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</si>
  <si>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</si>
  <si>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</si>
  <si>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</si>
  <si>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</si>
  <si>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</si>
  <si>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</si>
  <si>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</si>
  <si>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</si>
  <si>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</si>
  <si>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</si>
  <si>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</si>
  <si>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</si>
  <si>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</si>
  <si>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</si>
  <si>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</si>
  <si>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</si>
  <si>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</si>
  <si>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</si>
  <si>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</si>
  <si>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</si>
  <si>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</si>
  <si>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</si>
  <si>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</si>
  <si>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</si>
  <si>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</si>
  <si>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</si>
  <si>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</si>
  <si>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</si>
  <si>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</si>
  <si>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</si>
  <si>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</si>
  <si>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</si>
  <si>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</si>
  <si>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</si>
  <si>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</si>
  <si>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</si>
  <si>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</si>
  <si>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</si>
  <si>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ضترو4006</t>
  </si>
  <si>
    <t>ضترو4007</t>
  </si>
  <si>
    <t>8/1/1402</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</si>
  <si>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</si>
  <si>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</si>
  <si>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</si>
  <si>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</si>
  <si>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</si>
  <si>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</si>
  <si>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</si>
  <si>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</si>
  <si>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</si>
  <si>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</si>
  <si>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</si>
  <si>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</si>
  <si>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</si>
  <si>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</si>
  <si>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</si>
  <si>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</si>
  <si>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</si>
  <si>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</si>
  <si>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</si>
  <si>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</si>
  <si>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</si>
  <si>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ضستا4007</t>
  </si>
  <si>
    <t>شتران</t>
  </si>
  <si>
    <t>ضستا1220</t>
  </si>
  <si>
    <t>شستا حساب فرنیا</t>
  </si>
  <si>
    <t>شستا حساب ایلیا</t>
  </si>
  <si>
    <t>29/1/1402</t>
  </si>
  <si>
    <t>ضستا1220  9/12/1402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</si>
  <si>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</si>
  <si>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</si>
  <si>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</si>
  <si>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</si>
  <si>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</si>
  <si>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</si>
  <si>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</si>
  <si>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</si>
  <si>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</si>
  <si>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ضستا6014 8/6/1402</t>
  </si>
  <si>
    <t>ضستا6014</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</si>
  <si>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</si>
  <si>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</si>
  <si>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</si>
  <si>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</si>
  <si>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</si>
  <si>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</si>
  <si>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</si>
  <si>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</si>
  <si>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</si>
  <si>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</si>
  <si>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</si>
  <si>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</si>
  <si>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</si>
  <si>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</si>
  <si>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</si>
  <si>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</si>
  <si>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</si>
  <si>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</si>
  <si>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</si>
  <si>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</si>
  <si>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</si>
  <si>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</si>
  <si>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</si>
  <si>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</si>
  <si>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</si>
  <si>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</si>
  <si>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</si>
  <si>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</si>
  <si>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</si>
  <si>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</si>
  <si>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</si>
  <si>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</si>
  <si>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</si>
  <si>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</si>
  <si>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</si>
  <si>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</si>
  <si>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</si>
  <si>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</si>
  <si>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</si>
  <si>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</si>
  <si>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</si>
  <si>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</si>
  <si>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</si>
  <si>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</si>
  <si>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</si>
  <si>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</si>
  <si>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</si>
  <si>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</si>
  <si>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</si>
  <si>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</si>
  <si>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</si>
  <si>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</si>
  <si>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</si>
  <si>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</si>
  <si>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</si>
  <si>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</si>
  <si>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</si>
  <si>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</si>
  <si>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</si>
  <si>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</si>
  <si>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</si>
  <si>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</si>
  <si>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</si>
  <si>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</si>
  <si>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</si>
  <si>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</si>
  <si>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</si>
  <si>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</si>
  <si>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</si>
  <si>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</si>
  <si>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</si>
  <si>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</si>
  <si>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</si>
  <si>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</si>
  <si>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</si>
  <si>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ضستا5006 11/5/1402</t>
  </si>
  <si>
    <t>ضستا5006</t>
  </si>
  <si>
    <t>طلب علی اعتبار 160 میلیون 28/10  و 500 میلیون تومن اعتبار 29/1/1402</t>
  </si>
  <si>
    <t>18/2/1402</t>
  </si>
  <si>
    <t>ضستا4009</t>
  </si>
  <si>
    <t>25/2/1402</t>
  </si>
  <si>
    <t>8   1</t>
  </si>
  <si>
    <t>18    2</t>
  </si>
  <si>
    <t>25   2</t>
  </si>
  <si>
    <t>3   3</t>
  </si>
  <si>
    <t>2   3</t>
  </si>
  <si>
    <t>27   2</t>
  </si>
  <si>
    <t>تومن روز</t>
  </si>
  <si>
    <t>EPS 1402</t>
  </si>
  <si>
    <t>1402dps</t>
  </si>
  <si>
    <t>9/3/1402</t>
  </si>
  <si>
    <t>ضستا5004</t>
  </si>
  <si>
    <t>ضستا5004 11/5/1402</t>
  </si>
  <si>
    <t>ضخود5022 11/5/1402</t>
  </si>
  <si>
    <t>ضخود5022</t>
  </si>
  <si>
    <t>ضخود5021</t>
  </si>
  <si>
    <t>ضستا5007 11/5/1402</t>
  </si>
  <si>
    <t>طلب نصف 26 قسط وام 50 میلیونی 24/03/1402</t>
  </si>
  <si>
    <t>24/3/1402</t>
  </si>
  <si>
    <t>ضستا5007</t>
  </si>
  <si>
    <t>طلب از رضا با دلار 49375 تومن 30/3/1402</t>
  </si>
  <si>
    <t>آگاه</t>
  </si>
  <si>
    <t>ضهرم7017</t>
  </si>
  <si>
    <t>ضهرم7016</t>
  </si>
  <si>
    <t>31/3/1402</t>
  </si>
  <si>
    <t>تعهد</t>
  </si>
  <si>
    <t>مجموع تعهد</t>
  </si>
  <si>
    <t>سود نقدی ومهان</t>
  </si>
  <si>
    <t>4/4/1402</t>
  </si>
  <si>
    <t>5/4/1402</t>
  </si>
  <si>
    <t>4/4/1401</t>
  </si>
  <si>
    <t>ضستا4006 14/4/1402</t>
  </si>
  <si>
    <t>6/4/1402</t>
  </si>
  <si>
    <t>10/4/1402</t>
  </si>
  <si>
    <t>11/4/1402</t>
  </si>
  <si>
    <t>وسپه حساب ایلیا</t>
  </si>
  <si>
    <t>12/4/1402</t>
  </si>
  <si>
    <t>13/4/1402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</si>
</sst>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6" tint="-0.499984740745262"/>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58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15" fillId="42" borderId="1" xfId="0" applyFont="1" applyFill="1" applyBorder="1" applyAlignment="1">
      <alignment horizontal="center" vertical="center"/>
    </xf>
    <xf numFmtId="164" fontId="0" fillId="33" borderId="1" xfId="0" applyNumberFormat="1" applyFill="1" applyBorder="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3" borderId="1" xfId="0" applyFill="1" applyBorder="1" applyAlignment="1">
      <alignment horizontal="center"/>
    </xf>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8" borderId="1" xfId="0" applyFill="1" applyBorder="1" applyAlignment="1">
      <alignment horizontal="center"/>
    </xf>
    <xf numFmtId="0" fontId="15" fillId="38" borderId="1" xfId="0" applyFont="1" applyFill="1" applyBorder="1" applyAlignment="1">
      <alignment horizontal="center" vertical="center"/>
    </xf>
    <xf numFmtId="0" fontId="15" fillId="44" borderId="1" xfId="0" applyFont="1" applyFill="1" applyBorder="1" applyAlignment="1">
      <alignment horizontal="center" vertical="center"/>
    </xf>
    <xf numFmtId="164" fontId="15" fillId="44"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0" fillId="0" borderId="0" xfId="0"/>
    <xf numFmtId="164" fontId="18"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8" fillId="35" borderId="1" xfId="0" applyFont="1" applyFill="1" applyBorder="1" applyAlignment="1">
      <alignment horizontal="center" vertical="center"/>
    </xf>
    <xf numFmtId="164" fontId="18" fillId="35" borderId="1" xfId="0" applyNumberFormat="1" applyFont="1" applyFill="1" applyBorder="1" applyAlignment="1">
      <alignment horizontal="center" vertical="center"/>
    </xf>
    <xf numFmtId="3" fontId="18" fillId="35" borderId="1" xfId="0" applyNumberFormat="1" applyFont="1" applyFill="1" applyBorder="1" applyAlignment="1">
      <alignment horizontal="center" vertical="center"/>
    </xf>
    <xf numFmtId="3" fontId="18" fillId="2" borderId="1" xfId="0" applyNumberFormat="1" applyFont="1" applyFill="1" applyBorder="1" applyAlignment="1">
      <alignment horizontal="center" vertical="center"/>
    </xf>
    <xf numFmtId="164" fontId="18" fillId="38" borderId="1" xfId="0" applyNumberFormat="1" applyFont="1" applyFill="1" applyBorder="1" applyAlignment="1">
      <alignment horizontal="center" vertical="center"/>
    </xf>
    <xf numFmtId="3" fontId="18" fillId="38" borderId="1" xfId="0" applyNumberFormat="1" applyFont="1" applyFill="1" applyBorder="1" applyAlignment="1">
      <alignment horizontal="center" vertical="center"/>
    </xf>
    <xf numFmtId="164" fontId="18" fillId="13" borderId="1" xfId="0" applyNumberFormat="1" applyFont="1" applyFill="1" applyBorder="1" applyAlignment="1">
      <alignment horizontal="center" vertical="center"/>
    </xf>
    <xf numFmtId="164" fontId="18" fillId="36" borderId="1" xfId="0" applyNumberFormat="1" applyFont="1" applyFill="1" applyBorder="1" applyAlignment="1">
      <alignment horizontal="center" vertical="center"/>
    </xf>
    <xf numFmtId="3" fontId="18" fillId="36" borderId="1" xfId="0" applyNumberFormat="1" applyFont="1" applyFill="1" applyBorder="1" applyAlignment="1">
      <alignment horizontal="center" vertical="center"/>
    </xf>
    <xf numFmtId="164" fontId="18"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8"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8" fillId="0" borderId="1" xfId="0" applyFont="1" applyBorder="1" applyAlignment="1">
      <alignment horizontal="center" vertical="center"/>
    </xf>
    <xf numFmtId="164" fontId="18" fillId="11" borderId="1" xfId="0" applyNumberFormat="1" applyFont="1" applyFill="1" applyBorder="1" applyAlignment="1">
      <alignment horizontal="center" vertical="center"/>
    </xf>
    <xf numFmtId="0" fontId="0" fillId="0" borderId="0" xfId="0"/>
    <xf numFmtId="16" fontId="18" fillId="13" borderId="1" xfId="0" applyNumberFormat="1" applyFont="1" applyFill="1" applyBorder="1" applyAlignment="1">
      <alignment horizontal="center" vertical="center"/>
    </xf>
    <xf numFmtId="0" fontId="0" fillId="0" borderId="0" xfId="0"/>
    <xf numFmtId="0" fontId="0" fillId="0" borderId="0" xfId="0"/>
    <xf numFmtId="3" fontId="22" fillId="38" borderId="1" xfId="0" applyNumberFormat="1" applyFont="1" applyFill="1" applyBorder="1" applyAlignment="1">
      <alignment horizontal="center" vertical="center"/>
    </xf>
    <xf numFmtId="3" fontId="22" fillId="2" borderId="1" xfId="0" applyNumberFormat="1" applyFont="1" applyFill="1" applyBorder="1" applyAlignment="1">
      <alignment horizontal="center" vertical="center"/>
    </xf>
    <xf numFmtId="164" fontId="22" fillId="18" borderId="1" xfId="0" applyNumberFormat="1" applyFont="1" applyFill="1" applyBorder="1" applyAlignment="1">
      <alignment horizontal="center" vertical="center"/>
    </xf>
    <xf numFmtId="164" fontId="21" fillId="42" borderId="1" xfId="0" applyNumberFormat="1" applyFont="1" applyFill="1" applyBorder="1" applyAlignment="1">
      <alignment horizontal="center" vertical="center"/>
    </xf>
    <xf numFmtId="0" fontId="21" fillId="35" borderId="1" xfId="0" applyFont="1" applyFill="1" applyBorder="1" applyAlignment="1">
      <alignment horizontal="center" vertical="center"/>
    </xf>
    <xf numFmtId="164" fontId="15"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5" borderId="1" xfId="0" applyFill="1" applyBorder="1" applyAlignment="1">
      <alignment horizontal="center" vertical="center"/>
    </xf>
    <xf numFmtId="164" fontId="0" fillId="45" borderId="1" xfId="0" applyNumberFormat="1" applyFill="1" applyBorder="1" applyAlignment="1">
      <alignment horizontal="center" vertical="center"/>
    </xf>
    <xf numFmtId="3" fontId="8" fillId="45" borderId="1" xfId="0" applyNumberFormat="1" applyFont="1" applyFill="1" applyBorder="1" applyAlignment="1">
      <alignment horizontal="center" vertical="center"/>
    </xf>
    <xf numFmtId="0" fontId="18" fillId="45" borderId="1" xfId="0" applyFont="1" applyFill="1" applyBorder="1" applyAlignment="1">
      <alignment horizontal="center" vertical="center"/>
    </xf>
    <xf numFmtId="0" fontId="18" fillId="45" borderId="5" xfId="0" applyFont="1" applyFill="1" applyBorder="1" applyAlignment="1">
      <alignment horizontal="center" vertical="center"/>
    </xf>
    <xf numFmtId="3" fontId="18" fillId="45" borderId="1" xfId="0" applyNumberFormat="1" applyFont="1" applyFill="1" applyBorder="1" applyAlignment="1">
      <alignment horizontal="center" vertical="center"/>
    </xf>
    <xf numFmtId="3" fontId="22" fillId="45" borderId="1" xfId="0" applyNumberFormat="1" applyFont="1" applyFill="1" applyBorder="1" applyAlignment="1">
      <alignment horizontal="center" vertical="center"/>
    </xf>
    <xf numFmtId="0" fontId="0" fillId="0" borderId="0" xfId="0"/>
    <xf numFmtId="164" fontId="15"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6"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8"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ساله'!$A$146:$A$158</c:f>
              <c:strCache>
                <c:ptCount val="13"/>
                <c:pt idx="0">
                  <c:v>وغدیر</c:v>
                </c:pt>
                <c:pt idx="1">
                  <c:v>ومهان</c:v>
                </c:pt>
                <c:pt idx="2">
                  <c:v>وسپه</c:v>
                </c:pt>
                <c:pt idx="3">
                  <c:v>شپدیس</c:v>
                </c:pt>
                <c:pt idx="4">
                  <c:v>خودرو</c:v>
                </c:pt>
                <c:pt idx="5">
                  <c:v>اهرم</c:v>
                </c:pt>
                <c:pt idx="6">
                  <c:v>شستا</c:v>
                </c:pt>
                <c:pt idx="7">
                  <c:v>1220</c:v>
                </c:pt>
                <c:pt idx="8">
                  <c:v>6014</c:v>
                </c:pt>
                <c:pt idx="9">
                  <c:v>5007</c:v>
                </c:pt>
                <c:pt idx="10">
                  <c:v>5006</c:v>
                </c:pt>
                <c:pt idx="11">
                  <c:v>5004</c:v>
                </c:pt>
                <c:pt idx="12">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ساله'!$A$146:$A$158</c:f>
              <c:strCache>
                <c:ptCount val="13"/>
                <c:pt idx="0">
                  <c:v>وغدیر</c:v>
                </c:pt>
                <c:pt idx="1">
                  <c:v>ومهان</c:v>
                </c:pt>
                <c:pt idx="2">
                  <c:v>وسپه</c:v>
                </c:pt>
                <c:pt idx="3">
                  <c:v>شپدیس</c:v>
                </c:pt>
                <c:pt idx="4">
                  <c:v>خودرو</c:v>
                </c:pt>
                <c:pt idx="5">
                  <c:v>اهرم</c:v>
                </c:pt>
                <c:pt idx="6">
                  <c:v>شستا</c:v>
                </c:pt>
                <c:pt idx="7">
                  <c:v>1220</c:v>
                </c:pt>
                <c:pt idx="8">
                  <c:v>6014</c:v>
                </c:pt>
                <c:pt idx="9">
                  <c:v>5007</c:v>
                </c:pt>
                <c:pt idx="10">
                  <c:v>5006</c:v>
                </c:pt>
                <c:pt idx="11">
                  <c:v>5004</c:v>
                </c:pt>
                <c:pt idx="12">
                  <c:v>پول نقد</c:v>
                </c:pt>
              </c:strCache>
            </c:strRef>
          </c:cat>
          <c:val>
            <c:numRef>
              <c:f>'برنامه 5 ساله'!$C$146:$C$158</c:f>
              <c:numCache>
                <c:formatCode>\ت\و\م\ا\ن\ #,##0\ </c:formatCode>
                <c:ptCount val="13"/>
                <c:pt idx="0">
                  <c:v>23569637202</c:v>
                </c:pt>
                <c:pt idx="1">
                  <c:v>8564.6511627906966</c:v>
                </c:pt>
                <c:pt idx="2">
                  <c:v>467584000</c:v>
                </c:pt>
                <c:pt idx="3">
                  <c:v>107931636</c:v>
                </c:pt>
                <c:pt idx="4">
                  <c:v>664400000</c:v>
                </c:pt>
                <c:pt idx="5">
                  <c:v>1577832000</c:v>
                </c:pt>
                <c:pt idx="6">
                  <c:v>0</c:v>
                </c:pt>
                <c:pt idx="7">
                  <c:v>0</c:v>
                </c:pt>
                <c:pt idx="8">
                  <c:v>0</c:v>
                </c:pt>
                <c:pt idx="9">
                  <c:v>6550000</c:v>
                </c:pt>
                <c:pt idx="10">
                  <c:v>0</c:v>
                </c:pt>
                <c:pt idx="11">
                  <c:v>0</c:v>
                </c:pt>
                <c:pt idx="12">
                  <c:v>10724568</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162</xdr:row>
      <xdr:rowOff>112058</xdr:rowOff>
    </xdr:from>
    <xdr:to>
      <xdr:col>5</xdr:col>
      <xdr:colOff>168088</xdr:colOff>
      <xdr:row>197</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opLeftCell="A7" zoomScale="85" zoomScaleNormal="85" workbookViewId="0">
      <selection activeCell="C39" sqref="C39"/>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1"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4" t="s">
        <v>6663</v>
      </c>
      <c r="B1" s="367">
        <v>245473</v>
      </c>
      <c r="C1" s="364"/>
      <c r="D1" s="364"/>
      <c r="E1" s="364">
        <f t="shared" ref="E1:E6" si="0">B1*100/$C$57</f>
        <v>9.3334790456860281E-4</v>
      </c>
      <c r="F1" s="11"/>
      <c r="G1" s="279" t="s">
        <v>4406</v>
      </c>
      <c r="H1" s="1">
        <f>SUM(B36:B54)</f>
        <v>14238117914.651163</v>
      </c>
      <c r="J1" s="207" t="s">
        <v>4315</v>
      </c>
      <c r="K1" s="207" t="s">
        <v>4326</v>
      </c>
      <c r="L1" s="207" t="s">
        <v>4327</v>
      </c>
      <c r="M1" s="357" t="s">
        <v>25</v>
      </c>
      <c r="N1" s="357" t="s">
        <v>25</v>
      </c>
      <c r="V1" t="s">
        <v>25</v>
      </c>
      <c r="Z1" t="s">
        <v>25</v>
      </c>
      <c r="AA1" t="s">
        <v>25</v>
      </c>
    </row>
    <row r="2" spans="1:27">
      <c r="A2" s="364" t="s">
        <v>6664</v>
      </c>
      <c r="B2" s="367">
        <f>C2*D2</f>
        <v>592621428</v>
      </c>
      <c r="C2" s="374">
        <v>291788</v>
      </c>
      <c r="D2" s="364">
        <f>D36</f>
        <v>2031</v>
      </c>
      <c r="E2" s="364">
        <f t="shared" si="0"/>
        <v>2.2532904556764008</v>
      </c>
      <c r="F2" s="11"/>
      <c r="G2" s="357" t="s">
        <v>4318</v>
      </c>
      <c r="H2" s="1">
        <f>SUM(B27:B33)</f>
        <v>8760071606</v>
      </c>
      <c r="I2">
        <f t="shared" ref="I2:I7" si="1">K2-$K$10</f>
        <v>1479980</v>
      </c>
      <c r="J2" s="207" t="s">
        <v>690</v>
      </c>
      <c r="K2" s="207">
        <v>1479980</v>
      </c>
      <c r="L2" s="276">
        <f t="shared" ref="L2:L7" si="2">K2*$O$516</f>
        <v>8212233720.7485437</v>
      </c>
      <c r="M2" s="357">
        <f t="shared" ref="M2:M7" si="3">L2*100/$L$10</f>
        <v>32.20522140736108</v>
      </c>
      <c r="N2" s="1">
        <f t="shared" ref="N2:N7" si="4">M2*0.01*$N$10</f>
        <v>345399767.74422872</v>
      </c>
    </row>
    <row r="3" spans="1:27">
      <c r="A3" s="364" t="s">
        <v>6665</v>
      </c>
      <c r="B3" s="367">
        <f>C3*D3</f>
        <v>0</v>
      </c>
      <c r="C3" s="374">
        <v>0</v>
      </c>
      <c r="D3" s="364">
        <f>D37</f>
        <v>856.46511627906966</v>
      </c>
      <c r="E3" s="364">
        <f t="shared" si="0"/>
        <v>0</v>
      </c>
      <c r="F3" s="11"/>
      <c r="G3" s="357" t="s">
        <v>4319</v>
      </c>
      <c r="H3" s="1">
        <f>SUM(B19:B24)</f>
        <v>1032117642</v>
      </c>
      <c r="I3">
        <f t="shared" si="1"/>
        <v>2572827</v>
      </c>
      <c r="J3" s="207" t="s">
        <v>4317</v>
      </c>
      <c r="K3" s="207">
        <v>2572827</v>
      </c>
      <c r="L3" s="276">
        <f t="shared" si="2"/>
        <v>14276312279.255337</v>
      </c>
      <c r="M3" s="357">
        <f t="shared" si="3"/>
        <v>55.986204663466125</v>
      </c>
      <c r="N3" s="1">
        <f t="shared" si="4"/>
        <v>600449903.54334581</v>
      </c>
    </row>
    <row r="4" spans="1:27">
      <c r="A4" s="364" t="s">
        <v>6924</v>
      </c>
      <c r="B4" s="367">
        <f>C4*D4</f>
        <v>0</v>
      </c>
      <c r="C4" s="323">
        <v>0</v>
      </c>
      <c r="D4" s="364">
        <f>D43</f>
        <v>131</v>
      </c>
      <c r="E4" s="364">
        <f t="shared" si="0"/>
        <v>0</v>
      </c>
      <c r="F4" s="11"/>
      <c r="G4" s="357" t="s">
        <v>6837</v>
      </c>
      <c r="H4" s="1">
        <f>SUM(B9:B16)</f>
        <v>1771014812</v>
      </c>
      <c r="I4">
        <f t="shared" si="1"/>
        <v>41446</v>
      </c>
      <c r="J4" s="207" t="s">
        <v>4316</v>
      </c>
      <c r="K4" s="207">
        <v>41446</v>
      </c>
      <c r="L4" s="276">
        <f t="shared" si="2"/>
        <v>229978944.84394664</v>
      </c>
      <c r="M4" s="357">
        <f t="shared" si="3"/>
        <v>0.90188894880301596</v>
      </c>
      <c r="N4" s="1">
        <f t="shared" si="4"/>
        <v>9672724.4786600545</v>
      </c>
    </row>
    <row r="5" spans="1:27">
      <c r="A5" s="364" t="s">
        <v>6927</v>
      </c>
      <c r="B5" s="367">
        <f>C5*D5</f>
        <v>0</v>
      </c>
      <c r="C5" s="374">
        <v>0</v>
      </c>
      <c r="D5" s="364">
        <f>IF(D43&gt;180,180,D43)</f>
        <v>131</v>
      </c>
      <c r="E5" s="364">
        <f t="shared" si="0"/>
        <v>0</v>
      </c>
      <c r="F5" s="367">
        <f>C5*'خرید و فروش نسبتی'!O15</f>
        <v>0</v>
      </c>
      <c r="G5" s="357" t="s">
        <v>6838</v>
      </c>
      <c r="H5" s="1">
        <f>SUM(B2:B6)</f>
        <v>592621428</v>
      </c>
      <c r="I5">
        <f t="shared" si="1"/>
        <v>120081</v>
      </c>
      <c r="J5" s="207" t="s">
        <v>1005</v>
      </c>
      <c r="K5" s="207">
        <v>120081</v>
      </c>
      <c r="L5" s="276">
        <f t="shared" si="2"/>
        <v>666315245.76089263</v>
      </c>
      <c r="M5" s="357">
        <f t="shared" si="3"/>
        <v>2.6130320624720107</v>
      </c>
      <c r="N5" s="1">
        <f t="shared" si="4"/>
        <v>28024668.921535924</v>
      </c>
      <c r="T5" t="s">
        <v>25</v>
      </c>
      <c r="U5" t="s">
        <v>25</v>
      </c>
    </row>
    <row r="6" spans="1:27">
      <c r="A6" s="364" t="s">
        <v>6937</v>
      </c>
      <c r="B6" s="367">
        <f t="shared" ref="B6" si="5">C6*D6</f>
        <v>0</v>
      </c>
      <c r="C6" s="374">
        <v>0</v>
      </c>
      <c r="D6" s="364">
        <f>IF(D43&gt;180,180,D43)</f>
        <v>131</v>
      </c>
      <c r="E6" s="364">
        <f t="shared" si="0"/>
        <v>0</v>
      </c>
      <c r="F6" s="367">
        <f>C6*'خرید و فروش نسبتی'!O14</f>
        <v>0</v>
      </c>
      <c r="G6" s="357" t="s">
        <v>4320</v>
      </c>
      <c r="H6" s="1">
        <f>B35</f>
        <v>10380494</v>
      </c>
      <c r="I6" s="381">
        <f t="shared" si="1"/>
        <v>287123</v>
      </c>
      <c r="J6" s="207" t="s">
        <v>5281</v>
      </c>
      <c r="K6" s="207">
        <v>287123</v>
      </c>
      <c r="L6" s="276">
        <f t="shared" si="2"/>
        <v>1593211518.130302</v>
      </c>
      <c r="M6" s="389">
        <f t="shared" si="3"/>
        <v>6.2479626658101708</v>
      </c>
      <c r="N6" s="1">
        <f t="shared" si="4"/>
        <v>67009160.606242113</v>
      </c>
    </row>
    <row r="7" spans="1:27">
      <c r="E7" s="537"/>
      <c r="F7" t="s">
        <v>25</v>
      </c>
      <c r="G7" s="357" t="s">
        <v>4321</v>
      </c>
      <c r="H7" s="1">
        <f>B26</f>
        <v>424</v>
      </c>
      <c r="I7" s="381">
        <f t="shared" si="1"/>
        <v>94009</v>
      </c>
      <c r="J7" s="207" t="s">
        <v>6836</v>
      </c>
      <c r="K7" s="207">
        <v>94009</v>
      </c>
      <c r="L7" s="276">
        <f t="shared" si="2"/>
        <v>521644805.91214061</v>
      </c>
      <c r="M7" s="389">
        <f t="shared" si="3"/>
        <v>2.045690252087601</v>
      </c>
      <c r="N7" s="1">
        <f t="shared" si="4"/>
        <v>21939949.705987379</v>
      </c>
      <c r="T7" t="s">
        <v>25</v>
      </c>
    </row>
    <row r="8" spans="1:27">
      <c r="A8" s="362" t="s">
        <v>6592</v>
      </c>
      <c r="B8" s="471">
        <v>749</v>
      </c>
      <c r="C8" s="375"/>
      <c r="D8" s="471"/>
      <c r="E8" s="364">
        <f t="shared" ref="E8:E16" si="6">B8*100/$C$57</f>
        <v>2.8478797282058862E-6</v>
      </c>
      <c r="F8" s="11"/>
      <c r="G8" s="357" t="s">
        <v>4322</v>
      </c>
      <c r="H8" s="1">
        <f>B18</f>
        <v>97428</v>
      </c>
      <c r="I8" t="s">
        <v>25</v>
      </c>
      <c r="J8" s="207"/>
      <c r="K8" s="207"/>
      <c r="L8" s="207"/>
      <c r="M8" s="357"/>
      <c r="N8" s="357" t="s">
        <v>25</v>
      </c>
      <c r="U8" t="s">
        <v>25</v>
      </c>
    </row>
    <row r="9" spans="1:27">
      <c r="A9" s="362" t="s">
        <v>6593</v>
      </c>
      <c r="B9" s="471">
        <f t="shared" ref="B9:B12" si="7">C9*D9</f>
        <v>1661959176</v>
      </c>
      <c r="C9" s="375">
        <v>818296</v>
      </c>
      <c r="D9" s="362">
        <f>D36</f>
        <v>2031</v>
      </c>
      <c r="E9" s="364">
        <f t="shared" si="6"/>
        <v>6.3191720246143639</v>
      </c>
      <c r="F9" s="11"/>
      <c r="G9" s="357" t="s">
        <v>6839</v>
      </c>
      <c r="H9" s="1">
        <f>B8</f>
        <v>749</v>
      </c>
      <c r="J9" s="207"/>
      <c r="K9" s="207">
        <f>SUM(K2:K7)</f>
        <v>4595466</v>
      </c>
      <c r="L9" s="207"/>
      <c r="M9" s="1" t="s">
        <v>25</v>
      </c>
      <c r="N9" s="357" t="s">
        <v>25</v>
      </c>
      <c r="U9" t="s">
        <v>25</v>
      </c>
    </row>
    <row r="10" spans="1:27">
      <c r="A10" s="362" t="s">
        <v>6594</v>
      </c>
      <c r="B10" s="471">
        <f t="shared" si="7"/>
        <v>0</v>
      </c>
      <c r="C10" s="375">
        <v>0</v>
      </c>
      <c r="D10" s="362">
        <f>D37</f>
        <v>856.46511627906966</v>
      </c>
      <c r="E10" s="364">
        <f t="shared" si="6"/>
        <v>0</v>
      </c>
      <c r="F10" s="11"/>
      <c r="G10" s="357" t="s">
        <v>6840</v>
      </c>
      <c r="H10" s="1">
        <f>B1</f>
        <v>245473</v>
      </c>
      <c r="I10" t="s">
        <v>25</v>
      </c>
      <c r="J10" s="207"/>
      <c r="K10" s="207">
        <f>K9-P513</f>
        <v>0</v>
      </c>
      <c r="L10" s="276">
        <f>SUM(L2:L7)</f>
        <v>25499696514.651161</v>
      </c>
      <c r="M10" s="357" t="s">
        <v>25</v>
      </c>
      <c r="N10" s="1">
        <v>1072496175</v>
      </c>
    </row>
    <row r="11" spans="1:27" ht="18" customHeight="1">
      <c r="A11" s="362" t="s">
        <v>7054</v>
      </c>
      <c r="B11" s="471">
        <f t="shared" si="7"/>
        <v>1124000</v>
      </c>
      <c r="C11" s="375">
        <v>2000</v>
      </c>
      <c r="D11" s="362">
        <f>'خرید و فروش نسبتی'!O24</f>
        <v>562</v>
      </c>
      <c r="E11" s="364">
        <f t="shared" si="6"/>
        <v>4.2737207136227182E-3</v>
      </c>
      <c r="F11" s="205"/>
      <c r="G11" s="357" t="s">
        <v>7044</v>
      </c>
      <c r="H11" s="1">
        <f>-F55</f>
        <v>-104400000</v>
      </c>
      <c r="I11" t="s">
        <v>25</v>
      </c>
      <c r="J11" s="207"/>
      <c r="K11" s="207" t="s">
        <v>5607</v>
      </c>
      <c r="L11" s="276">
        <f>H3+H8-L5</f>
        <v>365899824.23910737</v>
      </c>
      <c r="M11" s="357">
        <f>L11/L4</f>
        <v>1.5910144491157245</v>
      </c>
      <c r="N11" s="357" t="s">
        <v>25</v>
      </c>
      <c r="P11" t="s">
        <v>25</v>
      </c>
    </row>
    <row r="12" spans="1:27">
      <c r="A12" s="362" t="s">
        <v>4716</v>
      </c>
      <c r="B12" s="471">
        <f t="shared" si="7"/>
        <v>107931636</v>
      </c>
      <c r="C12" s="375">
        <v>6582</v>
      </c>
      <c r="D12" s="362">
        <f>'خرید و فروش نسبتی'!O30</f>
        <v>16398</v>
      </c>
      <c r="E12" s="364">
        <f t="shared" si="6"/>
        <v>0.41038226728504223</v>
      </c>
      <c r="F12" s="354"/>
      <c r="G12" s="357" t="s">
        <v>4922</v>
      </c>
      <c r="H12" s="1">
        <v>0</v>
      </c>
      <c r="I12" t="s">
        <v>25</v>
      </c>
      <c r="J12" s="207"/>
      <c r="K12" s="207" t="s">
        <v>5606</v>
      </c>
      <c r="L12" s="276">
        <f>L4-L11</f>
        <v>-135920879.39516073</v>
      </c>
      <c r="M12" s="357">
        <f>L12/L4</f>
        <v>-0.59101444911572465</v>
      </c>
      <c r="N12" s="357"/>
      <c r="U12" t="s">
        <v>25</v>
      </c>
    </row>
    <row r="13" spans="1:27">
      <c r="A13" s="341" t="s">
        <v>6925</v>
      </c>
      <c r="B13" s="471">
        <f>C13*D13</f>
        <v>0</v>
      </c>
      <c r="C13" s="375">
        <v>0</v>
      </c>
      <c r="D13" s="362">
        <f>D43</f>
        <v>131</v>
      </c>
      <c r="E13" s="364">
        <f t="shared" si="6"/>
        <v>0</v>
      </c>
      <c r="F13" s="354"/>
      <c r="G13" s="357" t="s">
        <v>6773</v>
      </c>
      <c r="H13" s="1">
        <f>0</f>
        <v>0</v>
      </c>
      <c r="J13" s="207"/>
      <c r="K13" s="207" t="s">
        <v>6874</v>
      </c>
      <c r="L13" s="276">
        <f>H2+H7-L2-L12</f>
        <v>683759188.64661694</v>
      </c>
      <c r="M13" s="357">
        <f t="shared" ref="M13:M15" si="8">L13/L5</f>
        <v>1.0261797144770481</v>
      </c>
      <c r="N13" s="357" t="s">
        <v>25</v>
      </c>
      <c r="T13" s="35"/>
    </row>
    <row r="14" spans="1:27" ht="34.5" customHeight="1">
      <c r="A14" s="341" t="s">
        <v>6927</v>
      </c>
      <c r="B14" s="471">
        <f t="shared" ref="B14:B16" si="9">C14*D14</f>
        <v>0</v>
      </c>
      <c r="C14" s="375">
        <v>0</v>
      </c>
      <c r="D14" s="362">
        <f>IF(D43&gt;180,180,D43)</f>
        <v>131</v>
      </c>
      <c r="E14" s="364">
        <f t="shared" si="6"/>
        <v>0</v>
      </c>
      <c r="F14" s="367">
        <f>C14*'خرید و فروش نسبتی'!O15</f>
        <v>0</v>
      </c>
      <c r="G14" s="279" t="s">
        <v>7016</v>
      </c>
      <c r="H14" s="1">
        <f>-373268*D36</f>
        <v>-758107308</v>
      </c>
      <c r="J14" s="207"/>
      <c r="K14" s="207" t="s">
        <v>6873</v>
      </c>
      <c r="L14" s="276">
        <f>H4+H9-L6</f>
        <v>177804042.86969805</v>
      </c>
      <c r="M14" s="357">
        <f t="shared" si="8"/>
        <v>0.11160102776457345</v>
      </c>
      <c r="N14" s="11" t="s">
        <v>25</v>
      </c>
      <c r="T14" s="35"/>
    </row>
    <row r="15" spans="1:27">
      <c r="A15" s="341" t="s">
        <v>6937</v>
      </c>
      <c r="B15" s="471">
        <f t="shared" si="9"/>
        <v>0</v>
      </c>
      <c r="C15" s="375">
        <v>0</v>
      </c>
      <c r="D15" s="362">
        <f>IF(D43&gt;180,180,D43)</f>
        <v>131</v>
      </c>
      <c r="E15" s="364">
        <f t="shared" si="6"/>
        <v>0</v>
      </c>
      <c r="F15" s="367">
        <f>C15*'خرید و فروش نسبتی'!O14</f>
        <v>0</v>
      </c>
      <c r="G15" s="357" t="s">
        <v>6854</v>
      </c>
      <c r="H15" s="1">
        <f>-20908*D36</f>
        <v>-42464148</v>
      </c>
      <c r="J15" s="207"/>
      <c r="K15" s="207" t="s">
        <v>6875</v>
      </c>
      <c r="L15" s="276">
        <f>H5+H10-L7</f>
        <v>71222095.087859392</v>
      </c>
      <c r="M15" s="357">
        <f t="shared" si="8"/>
        <v>0.13653369933075718</v>
      </c>
      <c r="N15" s="11" t="s">
        <v>25</v>
      </c>
      <c r="T15" s="76"/>
    </row>
    <row r="16" spans="1:27">
      <c r="A16" s="341" t="s">
        <v>7014</v>
      </c>
      <c r="B16" s="471">
        <f t="shared" si="9"/>
        <v>0</v>
      </c>
      <c r="C16" s="375">
        <v>0</v>
      </c>
      <c r="D16" s="362">
        <f>IF($D$43&gt;170,170,$D$43)</f>
        <v>131</v>
      </c>
      <c r="E16" s="364">
        <f t="shared" si="6"/>
        <v>0</v>
      </c>
      <c r="F16" s="354"/>
      <c r="G16" s="357"/>
      <c r="H16" s="1"/>
      <c r="K16" s="475"/>
      <c r="L16" s="475"/>
      <c r="S16" s="76"/>
      <c r="T16" s="76"/>
      <c r="U16" t="s">
        <v>25</v>
      </c>
    </row>
    <row r="17" spans="1:47">
      <c r="A17" s="354"/>
      <c r="B17" s="355"/>
      <c r="C17" s="373"/>
      <c r="D17" s="354"/>
      <c r="E17" s="537"/>
      <c r="F17" s="205"/>
      <c r="G17" s="357" t="s">
        <v>4324</v>
      </c>
      <c r="H17" s="1">
        <f>SUM(H1:H16)</f>
        <v>25499696514.651161</v>
      </c>
      <c r="K17" s="475"/>
      <c r="L17" s="475"/>
      <c r="S17" s="35"/>
      <c r="T17" s="35"/>
      <c r="V17" t="s">
        <v>25</v>
      </c>
      <c r="AC17" t="s">
        <v>25</v>
      </c>
    </row>
    <row r="18" spans="1:47">
      <c r="A18" s="361" t="s">
        <v>4323</v>
      </c>
      <c r="B18" s="360">
        <v>97428</v>
      </c>
      <c r="C18" s="377"/>
      <c r="D18" s="361"/>
      <c r="E18" s="364">
        <f t="shared" ref="E18:E24" si="10">B18*100/$C$57</f>
        <v>3.7044489473917635E-4</v>
      </c>
      <c r="F18" s="205"/>
      <c r="G18" s="475"/>
      <c r="H18" s="475"/>
      <c r="K18" s="475"/>
      <c r="L18" s="357" t="s">
        <v>8</v>
      </c>
      <c r="M18" s="357" t="s">
        <v>4316</v>
      </c>
      <c r="N18" s="2"/>
      <c r="O18" s="357" t="s">
        <v>180</v>
      </c>
      <c r="P18" s="357" t="s">
        <v>4338</v>
      </c>
      <c r="Q18" s="357" t="s">
        <v>4339</v>
      </c>
      <c r="R18" s="357" t="s">
        <v>4349</v>
      </c>
      <c r="S18" s="357" t="s">
        <v>8</v>
      </c>
      <c r="T18" s="35"/>
    </row>
    <row r="19" spans="1:47" ht="18" customHeight="1">
      <c r="A19" s="361" t="s">
        <v>4306</v>
      </c>
      <c r="B19" s="360">
        <f>C19*D19</f>
        <v>1032117642</v>
      </c>
      <c r="C19" s="377">
        <v>508182</v>
      </c>
      <c r="D19" s="361">
        <f>D36</f>
        <v>2031</v>
      </c>
      <c r="E19" s="364">
        <f t="shared" si="10"/>
        <v>3.9243616952943392</v>
      </c>
      <c r="F19" s="205"/>
      <c r="G19" s="475"/>
      <c r="H19" s="368"/>
      <c r="K19" s="475"/>
      <c r="L19" s="357"/>
      <c r="M19" s="279" t="s">
        <v>180</v>
      </c>
      <c r="N19" s="2" t="s">
        <v>267</v>
      </c>
      <c r="O19" s="1" t="s">
        <v>4325</v>
      </c>
      <c r="P19" s="357">
        <v>1000000</v>
      </c>
      <c r="Q19" s="1">
        <v>239.024</v>
      </c>
      <c r="R19" s="1">
        <f t="shared" ref="R19:R120" si="11">P19*Q19</f>
        <v>239024000</v>
      </c>
      <c r="S19" s="357"/>
      <c r="AA19" t="s">
        <v>25</v>
      </c>
      <c r="AI19" s="11" t="s">
        <v>3557</v>
      </c>
      <c r="AJ19" s="11" t="s">
        <v>180</v>
      </c>
      <c r="AK19" s="11" t="s">
        <v>267</v>
      </c>
      <c r="AL19" s="11" t="s">
        <v>3971</v>
      </c>
      <c r="AM19" s="11" t="s">
        <v>3963</v>
      </c>
      <c r="AN19" s="11" t="s">
        <v>282</v>
      </c>
      <c r="AO19" s="11" t="s">
        <v>422</v>
      </c>
    </row>
    <row r="20" spans="1:47" ht="17.25" customHeight="1">
      <c r="A20" s="361" t="s">
        <v>5139</v>
      </c>
      <c r="B20" s="360">
        <f>C20*D20</f>
        <v>0</v>
      </c>
      <c r="C20" s="377">
        <v>0</v>
      </c>
      <c r="D20" s="361">
        <f>D37</f>
        <v>856.46511627906966</v>
      </c>
      <c r="E20" s="364">
        <f t="shared" si="10"/>
        <v>0</v>
      </c>
      <c r="F20" s="205" t="s">
        <v>25</v>
      </c>
      <c r="G20" s="368"/>
      <c r="H20" s="368"/>
      <c r="I20" s="368"/>
      <c r="K20" s="475"/>
      <c r="L20" s="357"/>
      <c r="M20" s="357" t="s">
        <v>4310</v>
      </c>
      <c r="N20" s="3">
        <v>3000000</v>
      </c>
      <c r="O20" s="357" t="s">
        <v>4310</v>
      </c>
      <c r="P20" s="357">
        <v>5904</v>
      </c>
      <c r="Q20" s="1">
        <v>237.148</v>
      </c>
      <c r="R20" s="1">
        <f t="shared" si="11"/>
        <v>1400121.7919999999</v>
      </c>
      <c r="S20" s="357" t="s">
        <v>690</v>
      </c>
      <c r="AI20" s="11">
        <v>1</v>
      </c>
      <c r="AJ20" s="3" t="s">
        <v>1026</v>
      </c>
      <c r="AK20" s="3">
        <v>18000000</v>
      </c>
      <c r="AL20" s="11">
        <v>1</v>
      </c>
      <c r="AM20" s="11">
        <f>AM21+AL20</f>
        <v>1452</v>
      </c>
      <c r="AN20" s="3">
        <f t="shared" ref="AN20:AO61" si="12">AK20*AM20</f>
        <v>26136000000</v>
      </c>
      <c r="AO20" s="11"/>
    </row>
    <row r="21" spans="1:47">
      <c r="A21" s="361" t="s">
        <v>5594</v>
      </c>
      <c r="B21" s="360">
        <f>C21*D21</f>
        <v>0</v>
      </c>
      <c r="C21" s="377">
        <v>0</v>
      </c>
      <c r="D21" s="361">
        <f>D43</f>
        <v>131</v>
      </c>
      <c r="E21" s="364">
        <f t="shared" si="10"/>
        <v>0</v>
      </c>
      <c r="F21" s="205"/>
      <c r="G21" s="368"/>
      <c r="H21" s="368"/>
      <c r="I21" s="356"/>
      <c r="J21" t="s">
        <v>25</v>
      </c>
      <c r="K21" s="475"/>
      <c r="L21" s="357"/>
      <c r="M21" s="357" t="s">
        <v>4350</v>
      </c>
      <c r="N21" s="3">
        <v>2000000</v>
      </c>
      <c r="O21" s="357" t="s">
        <v>4123</v>
      </c>
      <c r="P21" s="357">
        <v>1000</v>
      </c>
      <c r="Q21" s="1">
        <v>247.393</v>
      </c>
      <c r="R21" s="1">
        <f t="shared" si="11"/>
        <v>247393</v>
      </c>
      <c r="S21" s="357" t="s">
        <v>690</v>
      </c>
      <c r="AI21" s="11">
        <v>2</v>
      </c>
      <c r="AJ21" s="3" t="s">
        <v>1028</v>
      </c>
      <c r="AK21" s="3">
        <v>2500000</v>
      </c>
      <c r="AL21" s="11">
        <v>1</v>
      </c>
      <c r="AM21" s="11">
        <f t="shared" ref="AM21:AN60" si="13">AM22+AL21</f>
        <v>1451</v>
      </c>
      <c r="AN21" s="3">
        <f t="shared" si="12"/>
        <v>3627500000</v>
      </c>
      <c r="AO21" s="11"/>
    </row>
    <row r="22" spans="1:47">
      <c r="A22" s="361" t="s">
        <v>6927</v>
      </c>
      <c r="B22" s="360">
        <f t="shared" ref="B22:B23" si="14">C22*D22</f>
        <v>0</v>
      </c>
      <c r="C22" s="377">
        <v>0</v>
      </c>
      <c r="D22" s="361">
        <f>IF(D43&gt;180,180,D43)</f>
        <v>131</v>
      </c>
      <c r="E22" s="364">
        <f t="shared" si="10"/>
        <v>0</v>
      </c>
      <c r="F22" s="367">
        <f>C22*'خرید و فروش نسبتی'!O15</f>
        <v>0</v>
      </c>
      <c r="G22" s="475"/>
      <c r="H22" s="475"/>
      <c r="I22" s="356"/>
      <c r="K22" s="475"/>
      <c r="L22" s="357"/>
      <c r="M22" s="357" t="s">
        <v>4358</v>
      </c>
      <c r="N22" s="3">
        <v>1000000</v>
      </c>
      <c r="O22" s="208" t="s">
        <v>4350</v>
      </c>
      <c r="P22" s="208">
        <v>8071</v>
      </c>
      <c r="Q22" s="390">
        <v>247.797</v>
      </c>
      <c r="R22" s="390">
        <f t="shared" si="11"/>
        <v>1999969.5870000001</v>
      </c>
      <c r="S22" s="208" t="s">
        <v>4316</v>
      </c>
      <c r="AA22" t="s">
        <v>25</v>
      </c>
      <c r="AI22" s="11">
        <v>3</v>
      </c>
      <c r="AJ22" s="3" t="s">
        <v>1036</v>
      </c>
      <c r="AK22" s="3">
        <v>8000000</v>
      </c>
      <c r="AL22" s="11">
        <v>1</v>
      </c>
      <c r="AM22" s="11">
        <f t="shared" si="13"/>
        <v>1450</v>
      </c>
      <c r="AN22" s="3">
        <f t="shared" si="12"/>
        <v>11600000000</v>
      </c>
      <c r="AO22" s="11"/>
    </row>
    <row r="23" spans="1:47">
      <c r="A23" s="361" t="s">
        <v>6937</v>
      </c>
      <c r="B23" s="360">
        <f t="shared" si="14"/>
        <v>0</v>
      </c>
      <c r="C23" s="377">
        <v>0</v>
      </c>
      <c r="D23" s="361">
        <f>IF($D$43&gt;180,180,$D$43)</f>
        <v>131</v>
      </c>
      <c r="E23" s="364">
        <f t="shared" si="10"/>
        <v>0</v>
      </c>
      <c r="F23" s="367">
        <f>C23*'خرید و فروش نسبتی'!O14</f>
        <v>0</v>
      </c>
      <c r="G23" s="2"/>
      <c r="H23" s="37"/>
      <c r="J23" t="s">
        <v>25</v>
      </c>
      <c r="K23" s="475"/>
      <c r="L23" s="357"/>
      <c r="M23" s="357" t="s">
        <v>4361</v>
      </c>
      <c r="N23" s="3">
        <v>2000000</v>
      </c>
      <c r="O23" s="357" t="s">
        <v>4350</v>
      </c>
      <c r="P23" s="357">
        <v>53672</v>
      </c>
      <c r="Q23" s="1">
        <v>247.797</v>
      </c>
      <c r="R23" s="1">
        <f t="shared" si="11"/>
        <v>13299760.584000001</v>
      </c>
      <c r="S23" s="357" t="s">
        <v>422</v>
      </c>
      <c r="AA23" t="s">
        <v>25</v>
      </c>
      <c r="AB23" t="s">
        <v>25</v>
      </c>
      <c r="AI23" s="11">
        <v>4</v>
      </c>
      <c r="AJ23" s="3" t="s">
        <v>3967</v>
      </c>
      <c r="AK23" s="3">
        <v>-79552</v>
      </c>
      <c r="AL23" s="11">
        <v>1</v>
      </c>
      <c r="AM23" s="11">
        <f t="shared" si="13"/>
        <v>1449</v>
      </c>
      <c r="AN23" s="3">
        <f t="shared" si="12"/>
        <v>-115270848</v>
      </c>
      <c r="AO23" s="11"/>
    </row>
    <row r="24" spans="1:47">
      <c r="A24" s="361" t="s">
        <v>4542</v>
      </c>
      <c r="B24" s="360">
        <f>C24*D24</f>
        <v>0</v>
      </c>
      <c r="C24" s="377">
        <v>0</v>
      </c>
      <c r="D24" s="361">
        <f>D38</f>
        <v>562</v>
      </c>
      <c r="E24" s="364">
        <f t="shared" si="10"/>
        <v>0</v>
      </c>
      <c r="F24" s="205"/>
      <c r="G24" s="2" t="s">
        <v>6470</v>
      </c>
      <c r="H24" s="37">
        <f>-'فروردین 98'!D176</f>
        <v>3846463</v>
      </c>
      <c r="I24" s="356"/>
      <c r="K24" s="475"/>
      <c r="L24" s="357"/>
      <c r="M24" s="357" t="s">
        <v>914</v>
      </c>
      <c r="N24" s="3">
        <v>3000000</v>
      </c>
      <c r="O24" s="208" t="s">
        <v>4358</v>
      </c>
      <c r="P24" s="208">
        <v>4099</v>
      </c>
      <c r="Q24" s="390">
        <v>243.93</v>
      </c>
      <c r="R24" s="390">
        <f t="shared" si="11"/>
        <v>999869.07000000007</v>
      </c>
      <c r="S24" s="208" t="s">
        <v>4316</v>
      </c>
      <c r="AA24" t="s">
        <v>25</v>
      </c>
      <c r="AI24" s="11">
        <v>5</v>
      </c>
      <c r="AJ24" s="3" t="s">
        <v>1048</v>
      </c>
      <c r="AK24" s="3">
        <v>165500</v>
      </c>
      <c r="AL24" s="11">
        <v>12</v>
      </c>
      <c r="AM24" s="11">
        <f t="shared" si="13"/>
        <v>1448</v>
      </c>
      <c r="AN24" s="3">
        <f t="shared" si="12"/>
        <v>239644000</v>
      </c>
      <c r="AO24" s="11"/>
    </row>
    <row r="25" spans="1:47">
      <c r="A25" s="19"/>
      <c r="B25" s="37"/>
      <c r="C25" s="345"/>
      <c r="D25" s="19"/>
      <c r="E25" s="537"/>
      <c r="F25" s="205"/>
      <c r="G25" s="2" t="s">
        <v>4328</v>
      </c>
      <c r="H25" s="37">
        <f>-L13</f>
        <v>-683759188.64661694</v>
      </c>
      <c r="J25" t="s">
        <v>25</v>
      </c>
      <c r="K25" s="475"/>
      <c r="L25" s="357"/>
      <c r="M25" s="357" t="s">
        <v>4475</v>
      </c>
      <c r="N25" s="3">
        <v>3000000</v>
      </c>
      <c r="O25" s="357" t="s">
        <v>4358</v>
      </c>
      <c r="P25" s="357">
        <v>9301</v>
      </c>
      <c r="Q25" s="1">
        <v>243.93</v>
      </c>
      <c r="R25" s="1">
        <f t="shared" si="11"/>
        <v>2268792.9300000002</v>
      </c>
      <c r="S25" s="357" t="s">
        <v>422</v>
      </c>
      <c r="AB25" t="s">
        <v>25</v>
      </c>
      <c r="AI25" s="11">
        <v>6</v>
      </c>
      <c r="AJ25" s="3" t="s">
        <v>1072</v>
      </c>
      <c r="AK25" s="3">
        <v>-28830327</v>
      </c>
      <c r="AL25" s="11">
        <v>6</v>
      </c>
      <c r="AM25" s="11">
        <f t="shared" si="13"/>
        <v>1436</v>
      </c>
      <c r="AN25" s="3">
        <f t="shared" si="12"/>
        <v>-41400349572</v>
      </c>
      <c r="AO25" s="11"/>
    </row>
    <row r="26" spans="1:47">
      <c r="A26" s="365" t="s">
        <v>6758</v>
      </c>
      <c r="B26" s="366">
        <v>424</v>
      </c>
      <c r="C26" s="376" t="s">
        <v>857</v>
      </c>
      <c r="D26" s="365" t="s">
        <v>3843</v>
      </c>
      <c r="E26" s="364">
        <f t="shared" ref="E26:E33" si="15">B26*100/$C$57</f>
        <v>1.6121508741779649E-6</v>
      </c>
      <c r="F26" s="205"/>
      <c r="G26" s="2"/>
      <c r="H26" s="37"/>
      <c r="I26" t="s">
        <v>25</v>
      </c>
      <c r="J26" t="s">
        <v>25</v>
      </c>
      <c r="K26" s="475"/>
      <c r="L26" s="357" t="s">
        <v>4632</v>
      </c>
      <c r="M26" s="357" t="s">
        <v>4627</v>
      </c>
      <c r="N26" s="3">
        <v>-800000</v>
      </c>
      <c r="O26" s="208" t="s">
        <v>4361</v>
      </c>
      <c r="P26" s="208">
        <v>8334</v>
      </c>
      <c r="Q26" s="390">
        <v>239.97</v>
      </c>
      <c r="R26" s="390">
        <f t="shared" si="11"/>
        <v>1999909.98</v>
      </c>
      <c r="S26" s="208" t="s">
        <v>4316</v>
      </c>
      <c r="AC26" t="s">
        <v>25</v>
      </c>
      <c r="AI26" s="11">
        <v>7</v>
      </c>
      <c r="AJ26" s="3" t="s">
        <v>1097</v>
      </c>
      <c r="AK26" s="3">
        <v>18500000</v>
      </c>
      <c r="AL26" s="11">
        <v>1</v>
      </c>
      <c r="AM26" s="11">
        <f t="shared" si="13"/>
        <v>1430</v>
      </c>
      <c r="AN26" s="3">
        <f t="shared" si="12"/>
        <v>26455000000</v>
      </c>
      <c r="AO26" s="11"/>
    </row>
    <row r="27" spans="1:47">
      <c r="A27" s="365" t="s">
        <v>4188</v>
      </c>
      <c r="B27" s="366">
        <f t="shared" ref="B27:B33" si="16">C27*D27</f>
        <v>8479071606</v>
      </c>
      <c r="C27" s="376">
        <v>4174826</v>
      </c>
      <c r="D27" s="365">
        <f>D36</f>
        <v>2031</v>
      </c>
      <c r="E27" s="364">
        <f t="shared" si="15"/>
        <v>32.239487504317125</v>
      </c>
      <c r="F27" s="205"/>
      <c r="G27" s="2" t="s">
        <v>842</v>
      </c>
      <c r="H27" s="37">
        <v>4800000</v>
      </c>
      <c r="I27" s="368" t="s">
        <v>25</v>
      </c>
      <c r="J27" t="s">
        <v>25</v>
      </c>
      <c r="K27" s="475"/>
      <c r="L27" s="357" t="s">
        <v>4633</v>
      </c>
      <c r="M27" s="357" t="s">
        <v>4627</v>
      </c>
      <c r="N27" s="3">
        <v>-900000</v>
      </c>
      <c r="O27" s="357" t="s">
        <v>4122</v>
      </c>
      <c r="P27" s="357">
        <v>29041</v>
      </c>
      <c r="Q27" s="1">
        <v>233.45</v>
      </c>
      <c r="R27" s="1">
        <f t="shared" si="11"/>
        <v>6779621.4499999993</v>
      </c>
      <c r="S27" s="357" t="s">
        <v>690</v>
      </c>
      <c r="AI27" s="11">
        <v>8</v>
      </c>
      <c r="AJ27" s="3" t="s">
        <v>1106</v>
      </c>
      <c r="AK27" s="3">
        <v>-18550000</v>
      </c>
      <c r="AL27" s="11">
        <v>1</v>
      </c>
      <c r="AM27" s="11">
        <f t="shared" si="13"/>
        <v>1429</v>
      </c>
      <c r="AN27" s="3">
        <f t="shared" si="12"/>
        <v>-26507950000</v>
      </c>
      <c r="AO27" s="11"/>
    </row>
    <row r="28" spans="1:47">
      <c r="A28" s="365" t="s">
        <v>5139</v>
      </c>
      <c r="B28" s="366">
        <f t="shared" si="16"/>
        <v>0</v>
      </c>
      <c r="C28" s="376">
        <v>0</v>
      </c>
      <c r="D28" s="365">
        <f>D37</f>
        <v>856.46511627906966</v>
      </c>
      <c r="E28" s="364">
        <f t="shared" si="15"/>
        <v>0</v>
      </c>
      <c r="F28" s="205"/>
      <c r="G28" s="2"/>
      <c r="H28" s="37"/>
      <c r="I28" s="368" t="s">
        <v>25</v>
      </c>
      <c r="J28" t="s">
        <v>25</v>
      </c>
      <c r="K28" s="475"/>
      <c r="L28" s="357" t="s">
        <v>4633</v>
      </c>
      <c r="M28" s="357" t="s">
        <v>901</v>
      </c>
      <c r="N28" s="3">
        <v>-1100000</v>
      </c>
      <c r="O28" s="208" t="s">
        <v>914</v>
      </c>
      <c r="P28" s="208">
        <v>12337</v>
      </c>
      <c r="Q28" s="390">
        <v>243.16300000000001</v>
      </c>
      <c r="R28" s="390">
        <f t="shared" si="11"/>
        <v>2999901.9310000003</v>
      </c>
      <c r="S28" s="208" t="s">
        <v>4316</v>
      </c>
      <c r="AA28" t="s">
        <v>25</v>
      </c>
      <c r="AI28" s="11">
        <v>9</v>
      </c>
      <c r="AJ28" s="3" t="s">
        <v>1113</v>
      </c>
      <c r="AK28" s="3">
        <v>-64961</v>
      </c>
      <c r="AL28" s="11">
        <v>5</v>
      </c>
      <c r="AM28" s="11">
        <f t="shared" si="13"/>
        <v>1428</v>
      </c>
      <c r="AN28" s="3">
        <f t="shared" si="12"/>
        <v>-92764308</v>
      </c>
      <c r="AO28" s="11"/>
    </row>
    <row r="29" spans="1:47">
      <c r="A29" s="365" t="s">
        <v>5594</v>
      </c>
      <c r="B29" s="366">
        <f t="shared" si="16"/>
        <v>0</v>
      </c>
      <c r="C29" s="376">
        <v>0</v>
      </c>
      <c r="D29" s="365">
        <f>'خرید و فروش نسبتی'!O20</f>
        <v>131</v>
      </c>
      <c r="E29" s="364">
        <f t="shared" si="15"/>
        <v>0</v>
      </c>
      <c r="F29" s="205"/>
      <c r="G29" s="2"/>
      <c r="H29" s="37"/>
      <c r="I29" s="368" t="s">
        <v>25</v>
      </c>
      <c r="J29" s="494"/>
      <c r="K29" s="475"/>
      <c r="L29" s="388" t="s">
        <v>1005</v>
      </c>
      <c r="M29" s="388" t="s">
        <v>4655</v>
      </c>
      <c r="N29" s="136">
        <v>30000000</v>
      </c>
      <c r="O29" s="357" t="s">
        <v>4422</v>
      </c>
      <c r="P29" s="357">
        <v>-16118</v>
      </c>
      <c r="Q29" s="1">
        <v>248.17</v>
      </c>
      <c r="R29" s="1">
        <f t="shared" si="11"/>
        <v>-4000004.0599999996</v>
      </c>
      <c r="S29" s="357" t="s">
        <v>690</v>
      </c>
      <c r="AI29" s="11">
        <v>10</v>
      </c>
      <c r="AJ29" s="3" t="s">
        <v>1129</v>
      </c>
      <c r="AK29" s="3">
        <v>6400000</v>
      </c>
      <c r="AL29" s="11">
        <v>1</v>
      </c>
      <c r="AM29" s="11">
        <f t="shared" si="13"/>
        <v>1423</v>
      </c>
      <c r="AN29" s="3">
        <f t="shared" si="12"/>
        <v>9107200000</v>
      </c>
      <c r="AO29" s="11"/>
    </row>
    <row r="30" spans="1:47">
      <c r="A30" s="365" t="s">
        <v>6927</v>
      </c>
      <c r="B30" s="366">
        <f t="shared" si="16"/>
        <v>0</v>
      </c>
      <c r="C30" s="376">
        <v>0</v>
      </c>
      <c r="D30" s="365">
        <f>IF(D43&gt;180,180,D43)</f>
        <v>131</v>
      </c>
      <c r="E30" s="364">
        <f t="shared" si="15"/>
        <v>0</v>
      </c>
      <c r="F30" s="367">
        <f>C30*'خرید و فروش نسبتی'!O15</f>
        <v>0</v>
      </c>
      <c r="G30" s="2" t="s">
        <v>6876</v>
      </c>
      <c r="H30" s="37">
        <v>-11000000</v>
      </c>
      <c r="I30" s="368"/>
      <c r="J30" s="494" t="s">
        <v>25</v>
      </c>
      <c r="K30" s="475"/>
      <c r="L30" s="370" t="s">
        <v>4728</v>
      </c>
      <c r="M30" s="370" t="s">
        <v>4726</v>
      </c>
      <c r="N30" s="37">
        <v>2000000</v>
      </c>
      <c r="O30" s="357" t="s">
        <v>4442</v>
      </c>
      <c r="P30" s="357">
        <v>101681</v>
      </c>
      <c r="Q30" s="1">
        <v>246.5711</v>
      </c>
      <c r="R30" s="1">
        <f t="shared" si="11"/>
        <v>25071596.019099999</v>
      </c>
      <c r="S30" s="357" t="s">
        <v>422</v>
      </c>
      <c r="AA30" t="s">
        <v>25</v>
      </c>
      <c r="AI30" s="11">
        <v>11</v>
      </c>
      <c r="AJ30" s="3" t="s">
        <v>3968</v>
      </c>
      <c r="AK30" s="3">
        <v>-170000</v>
      </c>
      <c r="AL30" s="11">
        <v>5</v>
      </c>
      <c r="AM30" s="11">
        <f t="shared" si="13"/>
        <v>1422</v>
      </c>
      <c r="AN30" s="3">
        <f t="shared" si="12"/>
        <v>-241740000</v>
      </c>
      <c r="AO30" s="11"/>
    </row>
    <row r="31" spans="1:47">
      <c r="A31" s="365" t="s">
        <v>6937</v>
      </c>
      <c r="B31" s="366">
        <f t="shared" si="16"/>
        <v>0</v>
      </c>
      <c r="C31" s="376">
        <v>0</v>
      </c>
      <c r="D31" s="365">
        <f>IF(D43&gt;180,180,D43)</f>
        <v>131</v>
      </c>
      <c r="E31" s="364">
        <f t="shared" si="15"/>
        <v>0</v>
      </c>
      <c r="F31" s="367">
        <f>C31*'خرید و فروش نسبتی'!O14</f>
        <v>0</v>
      </c>
      <c r="G31" s="2"/>
      <c r="H31" s="2"/>
      <c r="I31" s="368"/>
      <c r="J31" s="494"/>
      <c r="L31" s="189" t="s">
        <v>4746</v>
      </c>
      <c r="M31" s="189" t="s">
        <v>4745</v>
      </c>
      <c r="N31" s="131">
        <v>480105</v>
      </c>
      <c r="O31" s="357" t="s">
        <v>4446</v>
      </c>
      <c r="P31" s="357">
        <v>66606</v>
      </c>
      <c r="Q31" s="1">
        <v>251.131</v>
      </c>
      <c r="R31" s="1">
        <f t="shared" si="11"/>
        <v>16726831.386</v>
      </c>
      <c r="S31" s="357" t="s">
        <v>690</v>
      </c>
      <c r="AI31" s="11">
        <v>12</v>
      </c>
      <c r="AJ31" s="3" t="s">
        <v>1149</v>
      </c>
      <c r="AK31" s="3">
        <v>-6300000</v>
      </c>
      <c r="AL31" s="11">
        <v>1</v>
      </c>
      <c r="AM31" s="11">
        <f>AM32+AL31</f>
        <v>1417</v>
      </c>
      <c r="AN31" s="3">
        <f t="shared" si="12"/>
        <v>-8927100000</v>
      </c>
      <c r="AO31" s="11"/>
    </row>
    <row r="32" spans="1:47">
      <c r="A32" s="365" t="s">
        <v>7014</v>
      </c>
      <c r="B32" s="366">
        <f t="shared" si="16"/>
        <v>0</v>
      </c>
      <c r="C32" s="376">
        <v>0</v>
      </c>
      <c r="D32" s="365">
        <f>IF(D43&gt;180,180,D43)</f>
        <v>131</v>
      </c>
      <c r="E32" s="364">
        <f t="shared" si="15"/>
        <v>0</v>
      </c>
      <c r="F32" s="205"/>
      <c r="G32" s="48" t="s">
        <v>7036</v>
      </c>
      <c r="H32" s="37">
        <v>25000000</v>
      </c>
      <c r="I32" s="356" t="s">
        <v>25</v>
      </c>
      <c r="J32" s="494"/>
      <c r="L32" s="189"/>
      <c r="M32" s="189" t="s">
        <v>4786</v>
      </c>
      <c r="N32" s="131">
        <v>30500000</v>
      </c>
      <c r="O32" s="357" t="s">
        <v>4451</v>
      </c>
      <c r="P32" s="357">
        <v>172025</v>
      </c>
      <c r="Q32" s="1">
        <v>245.52809999999999</v>
      </c>
      <c r="R32" s="1">
        <f t="shared" si="11"/>
        <v>42236971.402499996</v>
      </c>
      <c r="S32" s="357" t="s">
        <v>422</v>
      </c>
      <c r="AI32" s="11">
        <v>13</v>
      </c>
      <c r="AJ32" s="3" t="s">
        <v>1158</v>
      </c>
      <c r="AK32" s="3">
        <v>-52015</v>
      </c>
      <c r="AL32" s="11">
        <v>16</v>
      </c>
      <c r="AM32" s="11">
        <f t="shared" si="13"/>
        <v>1416</v>
      </c>
      <c r="AN32" s="3">
        <f t="shared" si="12"/>
        <v>-73653240</v>
      </c>
      <c r="AO32" s="11"/>
      <c r="AU32" t="s">
        <v>25</v>
      </c>
    </row>
    <row r="33" spans="1:41">
      <c r="A33" s="365" t="s">
        <v>4542</v>
      </c>
      <c r="B33" s="366">
        <f t="shared" si="16"/>
        <v>281000000</v>
      </c>
      <c r="C33" s="376">
        <v>500000</v>
      </c>
      <c r="D33" s="365">
        <f>D38</f>
        <v>562</v>
      </c>
      <c r="E33" s="364">
        <f t="shared" si="15"/>
        <v>1.0684301784056796</v>
      </c>
      <c r="F33" s="205"/>
      <c r="G33" s="355" t="s">
        <v>6803</v>
      </c>
      <c r="H33" s="354"/>
      <c r="I33" t="s">
        <v>25</v>
      </c>
      <c r="L33" s="370" t="s">
        <v>4810</v>
      </c>
      <c r="M33" s="370" t="s">
        <v>4805</v>
      </c>
      <c r="N33" s="37">
        <v>-400000</v>
      </c>
      <c r="O33" s="357" t="s">
        <v>4451</v>
      </c>
      <c r="P33" s="357">
        <v>189227</v>
      </c>
      <c r="Q33" s="1">
        <v>245.52809999999999</v>
      </c>
      <c r="R33" s="1">
        <f t="shared" si="11"/>
        <v>46460545.778700002</v>
      </c>
      <c r="S33" s="357" t="s">
        <v>690</v>
      </c>
      <c r="AI33" s="11">
        <v>14</v>
      </c>
      <c r="AJ33" s="3" t="s">
        <v>3623</v>
      </c>
      <c r="AK33" s="3">
        <v>20017400</v>
      </c>
      <c r="AL33" s="11">
        <v>0</v>
      </c>
      <c r="AM33" s="11">
        <f t="shared" si="13"/>
        <v>1400</v>
      </c>
      <c r="AN33" s="3">
        <f t="shared" si="12"/>
        <v>28024360000</v>
      </c>
      <c r="AO33" s="11"/>
    </row>
    <row r="34" spans="1:41" ht="15" customHeight="1">
      <c r="A34" s="354"/>
      <c r="B34" s="354"/>
      <c r="C34" s="354"/>
      <c r="D34" s="354"/>
      <c r="E34" s="537"/>
      <c r="F34" s="354"/>
      <c r="G34" s="2"/>
      <c r="H34" s="37"/>
      <c r="I34" s="368" t="s">
        <v>25</v>
      </c>
      <c r="L34" s="189" t="s">
        <v>4918</v>
      </c>
      <c r="M34" s="189" t="s">
        <v>4840</v>
      </c>
      <c r="N34" s="131">
        <v>-349550</v>
      </c>
      <c r="O34" s="357" t="s">
        <v>4452</v>
      </c>
      <c r="P34" s="357">
        <v>79720</v>
      </c>
      <c r="Q34" s="1">
        <v>246.6568</v>
      </c>
      <c r="R34" s="1">
        <f t="shared" si="11"/>
        <v>19663480.096000001</v>
      </c>
      <c r="S34" s="357" t="s">
        <v>422</v>
      </c>
      <c r="AI34" s="11">
        <v>15</v>
      </c>
      <c r="AJ34" s="3" t="s">
        <v>3623</v>
      </c>
      <c r="AK34" s="3">
        <v>1014466</v>
      </c>
      <c r="AL34" s="11">
        <v>12</v>
      </c>
      <c r="AM34" s="11">
        <f t="shared" si="13"/>
        <v>1400</v>
      </c>
      <c r="AN34" s="3">
        <f t="shared" si="12"/>
        <v>1420252400</v>
      </c>
      <c r="AO34" s="11"/>
    </row>
    <row r="35" spans="1:41">
      <c r="A35" s="363" t="s">
        <v>6728</v>
      </c>
      <c r="B35" s="359">
        <v>10380494</v>
      </c>
      <c r="C35" s="359"/>
      <c r="D35" s="363" t="s">
        <v>25</v>
      </c>
      <c r="E35" s="364">
        <f t="shared" ref="E35:E53" si="17">B35*100/$C$57</f>
        <v>3.946915678419604E-2</v>
      </c>
      <c r="F35" s="205"/>
      <c r="G35" s="2"/>
      <c r="H35" s="37"/>
      <c r="I35" s="368" t="s">
        <v>25</v>
      </c>
      <c r="J35" s="499" t="s">
        <v>25</v>
      </c>
      <c r="L35" s="370" t="s">
        <v>4810</v>
      </c>
      <c r="M35" s="370" t="s">
        <v>4978</v>
      </c>
      <c r="N35" s="37">
        <v>-200000</v>
      </c>
      <c r="O35" s="357" t="s">
        <v>4452</v>
      </c>
      <c r="P35" s="357">
        <v>79720</v>
      </c>
      <c r="Q35" s="1">
        <v>246.6568</v>
      </c>
      <c r="R35" s="1">
        <f t="shared" si="11"/>
        <v>19663480.096000001</v>
      </c>
      <c r="S35" s="357" t="s">
        <v>690</v>
      </c>
      <c r="AA35" s="387" t="s">
        <v>25</v>
      </c>
      <c r="AI35" s="11">
        <v>16</v>
      </c>
      <c r="AJ35" s="3" t="s">
        <v>1061</v>
      </c>
      <c r="AK35" s="3">
        <v>360000</v>
      </c>
      <c r="AL35" s="11">
        <v>2</v>
      </c>
      <c r="AM35" s="11">
        <f t="shared" si="13"/>
        <v>1388</v>
      </c>
      <c r="AN35" s="3">
        <f t="shared" si="12"/>
        <v>499680000</v>
      </c>
      <c r="AO35" s="11"/>
    </row>
    <row r="36" spans="1:41">
      <c r="A36" s="363" t="s">
        <v>4075</v>
      </c>
      <c r="B36" s="359">
        <f t="shared" ref="B36:B53" si="18">C36*D36</f>
        <v>11803867350</v>
      </c>
      <c r="C36" s="378">
        <v>5811850</v>
      </c>
      <c r="D36" s="363">
        <f>'خرید و فروش نسبتی'!O22</f>
        <v>2031</v>
      </c>
      <c r="E36" s="364">
        <f t="shared" si="17"/>
        <v>44.88116761080952</v>
      </c>
      <c r="F36" s="205"/>
      <c r="G36" s="2"/>
      <c r="H36" s="37"/>
      <c r="I36" s="368"/>
      <c r="J36" s="499"/>
      <c r="L36" s="370" t="s">
        <v>4810</v>
      </c>
      <c r="M36" s="370" t="s">
        <v>5010</v>
      </c>
      <c r="N36" s="37">
        <v>-122000</v>
      </c>
      <c r="O36" s="357" t="s">
        <v>4473</v>
      </c>
      <c r="P36" s="357">
        <v>17769</v>
      </c>
      <c r="Q36" s="1">
        <v>246.17877999999999</v>
      </c>
      <c r="R36" s="1">
        <f t="shared" si="11"/>
        <v>4374350.7418200001</v>
      </c>
      <c r="S36" s="357" t="s">
        <v>690</v>
      </c>
      <c r="AI36" s="11">
        <v>17</v>
      </c>
      <c r="AJ36" s="3" t="s">
        <v>3683</v>
      </c>
      <c r="AK36" s="3">
        <v>-350000</v>
      </c>
      <c r="AL36" s="11">
        <v>0</v>
      </c>
      <c r="AM36" s="11">
        <f t="shared" si="13"/>
        <v>1386</v>
      </c>
      <c r="AN36" s="3">
        <f t="shared" si="12"/>
        <v>-485100000</v>
      </c>
      <c r="AO36" s="11"/>
    </row>
    <row r="37" spans="1:41">
      <c r="A37" s="363" t="s">
        <v>5139</v>
      </c>
      <c r="B37" s="359">
        <f t="shared" si="18"/>
        <v>8564.6511627906966</v>
      </c>
      <c r="C37" s="378">
        <v>10</v>
      </c>
      <c r="D37" s="363">
        <f>'خرید و فروش نسبتی'!O23</f>
        <v>856.46511627906966</v>
      </c>
      <c r="E37" s="364">
        <f t="shared" si="17"/>
        <v>3.256488174321308E-5</v>
      </c>
      <c r="F37" s="205"/>
      <c r="G37" s="2" t="s">
        <v>6774</v>
      </c>
      <c r="H37" s="37">
        <f>-435.55*D53</f>
        <v>-21777500</v>
      </c>
      <c r="I37" s="368" t="s">
        <v>25</v>
      </c>
      <c r="J37" s="499"/>
      <c r="L37" s="370" t="s">
        <v>4810</v>
      </c>
      <c r="M37" s="370" t="s">
        <v>5018</v>
      </c>
      <c r="N37" s="37">
        <v>-700000</v>
      </c>
      <c r="O37" s="357" t="s">
        <v>4473</v>
      </c>
      <c r="P37" s="357">
        <v>17769</v>
      </c>
      <c r="Q37" s="1">
        <v>246.17877999999999</v>
      </c>
      <c r="R37" s="1">
        <f t="shared" si="11"/>
        <v>4374350.7418200001</v>
      </c>
      <c r="S37" s="357" t="s">
        <v>422</v>
      </c>
      <c r="AI37" s="11">
        <v>18</v>
      </c>
      <c r="AJ37" s="3" t="s">
        <v>3683</v>
      </c>
      <c r="AK37" s="3">
        <v>1000</v>
      </c>
      <c r="AL37" s="11">
        <v>1</v>
      </c>
      <c r="AM37" s="11">
        <f t="shared" si="13"/>
        <v>1386</v>
      </c>
      <c r="AN37" s="3">
        <f t="shared" si="12"/>
        <v>1386000</v>
      </c>
      <c r="AO37" s="11"/>
    </row>
    <row r="38" spans="1:41">
      <c r="A38" s="363" t="s">
        <v>4542</v>
      </c>
      <c r="B38" s="359">
        <f t="shared" si="18"/>
        <v>185460000</v>
      </c>
      <c r="C38" s="378">
        <v>330000</v>
      </c>
      <c r="D38" s="363">
        <f>'خرید و فروش نسبتی'!O24</f>
        <v>562</v>
      </c>
      <c r="E38" s="364">
        <f t="shared" si="17"/>
        <v>0.70516391774774856</v>
      </c>
      <c r="F38" s="205"/>
      <c r="G38" s="310" t="s">
        <v>6738</v>
      </c>
      <c r="H38" s="37">
        <f>-50*D52</f>
        <v>-143000000</v>
      </c>
      <c r="I38" s="368"/>
      <c r="J38" s="499"/>
      <c r="L38" s="370" t="s">
        <v>4810</v>
      </c>
      <c r="M38" s="370" t="s">
        <v>5028</v>
      </c>
      <c r="N38" s="37">
        <v>-60000</v>
      </c>
      <c r="O38" s="208" t="s">
        <v>4475</v>
      </c>
      <c r="P38" s="208">
        <v>12438</v>
      </c>
      <c r="Q38" s="390">
        <v>241.20465999999999</v>
      </c>
      <c r="R38" s="390">
        <f t="shared" si="11"/>
        <v>3000103.5610799999</v>
      </c>
      <c r="S38" s="208" t="s">
        <v>4316</v>
      </c>
      <c r="AB38" s="356"/>
      <c r="AC38" s="356"/>
      <c r="AI38" s="11">
        <v>19</v>
      </c>
      <c r="AJ38" s="3" t="s">
        <v>3687</v>
      </c>
      <c r="AK38" s="3">
        <v>33610000</v>
      </c>
      <c r="AL38" s="11">
        <v>4</v>
      </c>
      <c r="AM38" s="11">
        <f t="shared" si="13"/>
        <v>1385</v>
      </c>
      <c r="AN38" s="3">
        <f t="shared" si="12"/>
        <v>46549850000</v>
      </c>
      <c r="AO38" s="11"/>
    </row>
    <row r="39" spans="1:41">
      <c r="A39" s="363" t="s">
        <v>5153</v>
      </c>
      <c r="B39" s="359">
        <f t="shared" si="18"/>
        <v>0</v>
      </c>
      <c r="C39" s="378">
        <v>0</v>
      </c>
      <c r="D39" s="363">
        <f>'خرید و فروش نسبتی'!O28</f>
        <v>222.8</v>
      </c>
      <c r="E39" s="364">
        <f t="shared" si="17"/>
        <v>0</v>
      </c>
      <c r="F39" s="486"/>
      <c r="G39" s="48" t="s">
        <v>7039</v>
      </c>
      <c r="H39" s="37">
        <v>1939117</v>
      </c>
      <c r="I39" s="368"/>
      <c r="J39" s="499"/>
      <c r="L39" s="370" t="s">
        <v>4316</v>
      </c>
      <c r="M39" s="370" t="s">
        <v>5087</v>
      </c>
      <c r="N39" s="37">
        <v>700000</v>
      </c>
      <c r="O39" s="357" t="s">
        <v>4484</v>
      </c>
      <c r="P39" s="357">
        <v>27363</v>
      </c>
      <c r="Q39" s="1">
        <v>239.3886</v>
      </c>
      <c r="R39" s="1">
        <f t="shared" si="11"/>
        <v>6550390.2617999995</v>
      </c>
      <c r="S39" s="357" t="s">
        <v>690</v>
      </c>
      <c r="AB39" s="356"/>
      <c r="AC39" s="356"/>
      <c r="AI39" s="11">
        <v>20</v>
      </c>
      <c r="AJ39" s="3" t="s">
        <v>3969</v>
      </c>
      <c r="AK39" s="3">
        <v>-15600000</v>
      </c>
      <c r="AL39" s="11">
        <v>3</v>
      </c>
      <c r="AM39" s="11">
        <f t="shared" si="13"/>
        <v>1381</v>
      </c>
      <c r="AN39" s="3">
        <f t="shared" si="12"/>
        <v>-21543600000</v>
      </c>
      <c r="AO39" s="11"/>
    </row>
    <row r="40" spans="1:41">
      <c r="A40" s="363" t="s">
        <v>6919</v>
      </c>
      <c r="B40" s="359">
        <f t="shared" si="18"/>
        <v>0</v>
      </c>
      <c r="C40" s="378">
        <v>0</v>
      </c>
      <c r="D40" s="363">
        <f>'خرید و فروش نسبتی'!O18</f>
        <v>2267</v>
      </c>
      <c r="E40" s="364">
        <f t="shared" si="17"/>
        <v>0</v>
      </c>
      <c r="F40" s="486"/>
      <c r="G40" s="48"/>
      <c r="H40" s="37"/>
      <c r="I40" s="368"/>
      <c r="J40" s="499"/>
      <c r="L40" s="189" t="s">
        <v>1005</v>
      </c>
      <c r="M40" s="189" t="s">
        <v>5106</v>
      </c>
      <c r="N40" s="131">
        <v>40000000</v>
      </c>
      <c r="O40" s="357" t="s">
        <v>4484</v>
      </c>
      <c r="P40" s="357">
        <v>27363</v>
      </c>
      <c r="Q40" s="1">
        <v>239.3886</v>
      </c>
      <c r="R40" s="1">
        <f t="shared" si="11"/>
        <v>6550390.2617999995</v>
      </c>
      <c r="S40" s="357" t="s">
        <v>422</v>
      </c>
      <c r="AB40" s="356"/>
      <c r="AC40" s="356"/>
      <c r="AI40" s="11">
        <v>21</v>
      </c>
      <c r="AJ40" s="3" t="s">
        <v>3701</v>
      </c>
      <c r="AK40" s="3">
        <v>7500000</v>
      </c>
      <c r="AL40" s="11">
        <v>4</v>
      </c>
      <c r="AM40" s="11">
        <f t="shared" si="13"/>
        <v>1378</v>
      </c>
      <c r="AN40" s="3">
        <f t="shared" si="12"/>
        <v>10335000000</v>
      </c>
      <c r="AO40" s="11"/>
    </row>
    <row r="41" spans="1:41">
      <c r="A41" s="363" t="s">
        <v>7041</v>
      </c>
      <c r="B41" s="359">
        <f t="shared" si="18"/>
        <v>1577832000</v>
      </c>
      <c r="C41" s="378">
        <v>696000</v>
      </c>
      <c r="D41" s="363">
        <f>IF(D40&gt;2800,2800,D40)</f>
        <v>2267</v>
      </c>
      <c r="E41" s="364">
        <f t="shared" si="17"/>
        <v>5.9993000898725626</v>
      </c>
      <c r="F41" s="367">
        <f>C41*'خرید و فروش نسبتی'!O6</f>
        <v>104400000</v>
      </c>
      <c r="G41" s="2"/>
      <c r="H41" s="37"/>
      <c r="I41" s="368"/>
      <c r="J41" s="499"/>
      <c r="L41" s="370" t="s">
        <v>4316</v>
      </c>
      <c r="M41" s="370" t="s">
        <v>5110</v>
      </c>
      <c r="N41" s="37">
        <v>-800000</v>
      </c>
      <c r="O41" s="357" t="s">
        <v>4486</v>
      </c>
      <c r="P41" s="357">
        <v>27437</v>
      </c>
      <c r="Q41" s="1">
        <v>242.4015</v>
      </c>
      <c r="R41" s="1">
        <f t="shared" si="11"/>
        <v>6650769.9555000002</v>
      </c>
      <c r="S41" s="357" t="s">
        <v>690</v>
      </c>
      <c r="AB41" s="356"/>
      <c r="AC41" s="356"/>
      <c r="AI41" s="11">
        <v>22</v>
      </c>
      <c r="AJ41" s="3" t="s">
        <v>3970</v>
      </c>
      <c r="AK41" s="3">
        <v>-98000</v>
      </c>
      <c r="AL41" s="11">
        <v>1</v>
      </c>
      <c r="AM41" s="11">
        <f t="shared" si="13"/>
        <v>1374</v>
      </c>
      <c r="AN41" s="3">
        <f t="shared" si="12"/>
        <v>-134652000</v>
      </c>
      <c r="AO41" s="11"/>
    </row>
    <row r="42" spans="1:41">
      <c r="A42" s="363" t="s">
        <v>7042</v>
      </c>
      <c r="B42" s="359">
        <f t="shared" si="18"/>
        <v>0</v>
      </c>
      <c r="C42" s="378">
        <v>0</v>
      </c>
      <c r="D42" s="363">
        <f>IF(D40&gt;2600,260,D40)</f>
        <v>2267</v>
      </c>
      <c r="E42" s="364">
        <f t="shared" si="17"/>
        <v>0</v>
      </c>
      <c r="F42" s="486" t="s">
        <v>25</v>
      </c>
      <c r="G42" s="2" t="s">
        <v>6908</v>
      </c>
      <c r="H42" s="37"/>
      <c r="I42" t="s">
        <v>25</v>
      </c>
      <c r="J42" s="499"/>
      <c r="L42" s="357" t="s">
        <v>4316</v>
      </c>
      <c r="M42" s="357" t="s">
        <v>5192</v>
      </c>
      <c r="N42" s="37">
        <v>700000</v>
      </c>
      <c r="O42" s="357" t="s">
        <v>4486</v>
      </c>
      <c r="P42" s="357">
        <v>29104</v>
      </c>
      <c r="Q42" s="1">
        <v>242.4015</v>
      </c>
      <c r="R42" s="1">
        <f t="shared" si="11"/>
        <v>7054853.2560000001</v>
      </c>
      <c r="S42" s="357" t="s">
        <v>422</v>
      </c>
      <c r="AB42" s="356"/>
      <c r="AC42" s="356"/>
      <c r="AI42" s="11">
        <v>23</v>
      </c>
      <c r="AJ42" s="3" t="s">
        <v>3964</v>
      </c>
      <c r="AK42" s="3">
        <v>-26000000</v>
      </c>
      <c r="AL42" s="11">
        <v>0</v>
      </c>
      <c r="AM42" s="11">
        <f t="shared" si="13"/>
        <v>1373</v>
      </c>
      <c r="AN42" s="3">
        <f t="shared" si="12"/>
        <v>-35698000000</v>
      </c>
      <c r="AO42" s="11"/>
    </row>
    <row r="43" spans="1:41">
      <c r="A43" s="510" t="s">
        <v>5594</v>
      </c>
      <c r="B43" s="359">
        <f t="shared" si="18"/>
        <v>0</v>
      </c>
      <c r="C43" s="378">
        <v>0</v>
      </c>
      <c r="D43" s="363">
        <f>'خرید و فروش نسبتی'!O20</f>
        <v>131</v>
      </c>
      <c r="E43" s="364">
        <f t="shared" si="17"/>
        <v>0</v>
      </c>
      <c r="F43" s="486"/>
      <c r="G43" s="11"/>
      <c r="H43" s="37"/>
      <c r="I43" s="368"/>
      <c r="J43" s="499" t="s">
        <v>25</v>
      </c>
      <c r="L43" s="189" t="s">
        <v>5208</v>
      </c>
      <c r="M43" s="189" t="s">
        <v>5206</v>
      </c>
      <c r="N43" s="131">
        <v>-26000000</v>
      </c>
      <c r="O43" s="357" t="s">
        <v>4499</v>
      </c>
      <c r="P43" s="357">
        <v>8991</v>
      </c>
      <c r="Q43" s="1">
        <v>238.64867000000001</v>
      </c>
      <c r="R43" s="1">
        <f t="shared" si="11"/>
        <v>2145690.19197</v>
      </c>
      <c r="S43" s="357" t="s">
        <v>690</v>
      </c>
      <c r="AB43" s="356"/>
      <c r="AC43" s="356"/>
      <c r="AI43" s="11">
        <v>24</v>
      </c>
      <c r="AJ43" s="3" t="s">
        <v>3964</v>
      </c>
      <c r="AK43" s="3">
        <v>25000000</v>
      </c>
      <c r="AL43" s="11">
        <v>1</v>
      </c>
      <c r="AM43" s="11">
        <f t="shared" si="13"/>
        <v>1373</v>
      </c>
      <c r="AN43" s="3">
        <f t="shared" si="12"/>
        <v>34325000000</v>
      </c>
      <c r="AO43" s="11"/>
    </row>
    <row r="44" spans="1:41">
      <c r="A44" s="510" t="s">
        <v>6927</v>
      </c>
      <c r="B44" s="359">
        <f t="shared" si="18"/>
        <v>0</v>
      </c>
      <c r="C44" s="378">
        <v>0</v>
      </c>
      <c r="D44" s="363">
        <f>IF(D43&gt;180,180,D43)</f>
        <v>131</v>
      </c>
      <c r="E44" s="364">
        <f t="shared" si="17"/>
        <v>0</v>
      </c>
      <c r="F44" s="486"/>
      <c r="G44" s="11"/>
      <c r="H44" s="37"/>
      <c r="J44" s="499"/>
      <c r="L44" s="189" t="s">
        <v>5208</v>
      </c>
      <c r="M44" s="189" t="s">
        <v>5210</v>
      </c>
      <c r="N44" s="131">
        <v>-95900000</v>
      </c>
      <c r="O44" s="357" t="s">
        <v>4499</v>
      </c>
      <c r="P44" s="357">
        <v>8991</v>
      </c>
      <c r="Q44" s="1">
        <v>238.64867000000001</v>
      </c>
      <c r="R44" s="1">
        <f t="shared" si="11"/>
        <v>2145690.19197</v>
      </c>
      <c r="S44" s="357" t="s">
        <v>422</v>
      </c>
      <c r="AB44" s="356"/>
      <c r="AC44" s="356"/>
      <c r="AE44" t="s">
        <v>25</v>
      </c>
      <c r="AI44" s="11">
        <v>25</v>
      </c>
      <c r="AJ44" s="3" t="s">
        <v>3965</v>
      </c>
      <c r="AK44" s="3">
        <v>110000</v>
      </c>
      <c r="AL44" s="11">
        <v>1</v>
      </c>
      <c r="AM44" s="11">
        <f t="shared" si="13"/>
        <v>1372</v>
      </c>
      <c r="AN44" s="3">
        <f t="shared" si="12"/>
        <v>150920000</v>
      </c>
      <c r="AO44" s="11"/>
    </row>
    <row r="45" spans="1:41">
      <c r="A45" s="510" t="s">
        <v>6937</v>
      </c>
      <c r="B45" s="359">
        <f t="shared" si="18"/>
        <v>0</v>
      </c>
      <c r="C45" s="378">
        <v>0</v>
      </c>
      <c r="D45" s="363">
        <f>IF(D43&gt;180,180,D43)</f>
        <v>131</v>
      </c>
      <c r="E45" s="364">
        <f t="shared" si="17"/>
        <v>0</v>
      </c>
      <c r="F45" s="367">
        <f>'برنامه 5 ساله'!C45*'خرید و فروش نسبتی'!O14</f>
        <v>0</v>
      </c>
      <c r="G45" s="2"/>
      <c r="H45" s="37"/>
      <c r="J45" s="499"/>
      <c r="L45" s="189" t="s">
        <v>5208</v>
      </c>
      <c r="M45" s="189" t="s">
        <v>5211</v>
      </c>
      <c r="N45" s="131">
        <v>-28950000</v>
      </c>
      <c r="O45" s="357" t="s">
        <v>4509</v>
      </c>
      <c r="P45" s="357">
        <v>18170</v>
      </c>
      <c r="Q45" s="1">
        <v>240.48475999999999</v>
      </c>
      <c r="R45" s="1">
        <f t="shared" si="11"/>
        <v>4369608.0892000003</v>
      </c>
      <c r="S45" s="357" t="s">
        <v>690</v>
      </c>
      <c r="AB45" s="356"/>
      <c r="AC45" s="356"/>
      <c r="AD45" t="s">
        <v>25</v>
      </c>
      <c r="AE45" t="s">
        <v>25</v>
      </c>
      <c r="AG45" t="s">
        <v>25</v>
      </c>
      <c r="AI45" s="11">
        <v>26</v>
      </c>
      <c r="AJ45" s="3" t="s">
        <v>3715</v>
      </c>
      <c r="AK45" s="3">
        <v>380000</v>
      </c>
      <c r="AL45" s="11">
        <v>7</v>
      </c>
      <c r="AM45" s="11">
        <f t="shared" si="13"/>
        <v>1371</v>
      </c>
      <c r="AN45" s="3">
        <f t="shared" si="12"/>
        <v>520980000</v>
      </c>
      <c r="AO45" s="11"/>
    </row>
    <row r="46" spans="1:41">
      <c r="A46" s="510" t="s">
        <v>7035</v>
      </c>
      <c r="B46" s="359">
        <f t="shared" si="18"/>
        <v>6550000</v>
      </c>
      <c r="C46" s="378">
        <v>50000</v>
      </c>
      <c r="D46" s="143">
        <f>IF($D$43&gt;180,180,$D$43)</f>
        <v>131</v>
      </c>
      <c r="E46" s="438">
        <f t="shared" si="17"/>
        <v>2.4904689211947335E-2</v>
      </c>
      <c r="F46" s="486"/>
      <c r="G46" s="2"/>
      <c r="H46" s="37"/>
      <c r="I46" t="s">
        <v>25</v>
      </c>
      <c r="J46" s="499"/>
      <c r="L46" s="189" t="s">
        <v>5225</v>
      </c>
      <c r="M46" s="189" t="s">
        <v>5223</v>
      </c>
      <c r="N46" s="131">
        <v>1896188</v>
      </c>
      <c r="O46" s="357" t="s">
        <v>4509</v>
      </c>
      <c r="P46" s="357">
        <v>18170</v>
      </c>
      <c r="Q46" s="1">
        <v>240.48475999999999</v>
      </c>
      <c r="R46" s="1">
        <f t="shared" si="11"/>
        <v>4369608.0892000003</v>
      </c>
      <c r="S46" s="357" t="s">
        <v>422</v>
      </c>
      <c r="AB46" s="356"/>
      <c r="AC46" s="356"/>
      <c r="AI46" s="11">
        <v>27</v>
      </c>
      <c r="AJ46" s="3" t="s">
        <v>3801</v>
      </c>
      <c r="AK46" s="3">
        <v>450000</v>
      </c>
      <c r="AL46" s="11">
        <v>6</v>
      </c>
      <c r="AM46" s="11">
        <f t="shared" si="13"/>
        <v>1364</v>
      </c>
      <c r="AN46" s="3">
        <f t="shared" si="12"/>
        <v>613800000</v>
      </c>
      <c r="AO46" s="11"/>
    </row>
    <row r="47" spans="1:41">
      <c r="A47" s="510" t="s">
        <v>7014</v>
      </c>
      <c r="B47" s="359">
        <f t="shared" si="18"/>
        <v>0</v>
      </c>
      <c r="C47" s="378">
        <v>0</v>
      </c>
      <c r="D47" s="363">
        <f>IF($D$43&gt;170,170,$D$43)</f>
        <v>131</v>
      </c>
      <c r="E47" s="364">
        <f t="shared" si="17"/>
        <v>0</v>
      </c>
      <c r="F47" s="486"/>
      <c r="G47" s="354"/>
      <c r="H47" s="37"/>
      <c r="I47" t="s">
        <v>25</v>
      </c>
      <c r="J47" s="499"/>
      <c r="L47" s="189" t="s">
        <v>5369</v>
      </c>
      <c r="M47" s="189" t="s">
        <v>4127</v>
      </c>
      <c r="N47" s="131">
        <v>13752871.322800001</v>
      </c>
      <c r="O47" s="357" t="s">
        <v>4511</v>
      </c>
      <c r="P47" s="357">
        <v>36797</v>
      </c>
      <c r="Q47" s="1">
        <v>239.0822</v>
      </c>
      <c r="R47" s="1">
        <f t="shared" si="11"/>
        <v>8797507.7134000007</v>
      </c>
      <c r="S47" s="357" t="s">
        <v>690</v>
      </c>
      <c r="AB47" s="356"/>
      <c r="AC47" s="356"/>
      <c r="AE47" t="s">
        <v>25</v>
      </c>
      <c r="AI47" s="11">
        <v>28</v>
      </c>
      <c r="AJ47" s="3" t="s">
        <v>3825</v>
      </c>
      <c r="AK47" s="3">
        <v>2800000</v>
      </c>
      <c r="AL47" s="11">
        <v>1</v>
      </c>
      <c r="AM47" s="11">
        <f t="shared" si="13"/>
        <v>1358</v>
      </c>
      <c r="AN47" s="3">
        <f t="shared" si="12"/>
        <v>3802400000</v>
      </c>
      <c r="AO47" s="11"/>
    </row>
    <row r="48" spans="1:41">
      <c r="A48" s="510" t="s">
        <v>7031</v>
      </c>
      <c r="B48" s="359">
        <f t="shared" si="18"/>
        <v>0</v>
      </c>
      <c r="C48" s="378">
        <v>0</v>
      </c>
      <c r="D48" s="363">
        <f>IF($D$43&gt;150,150,$D$43)</f>
        <v>131</v>
      </c>
      <c r="E48" s="364">
        <f t="shared" si="17"/>
        <v>0</v>
      </c>
      <c r="F48" s="486"/>
      <c r="G48" s="354"/>
      <c r="H48" s="37"/>
      <c r="I48" t="s">
        <v>25</v>
      </c>
      <c r="J48" s="499"/>
      <c r="L48" s="370" t="s">
        <v>5379</v>
      </c>
      <c r="M48" s="370" t="s">
        <v>5377</v>
      </c>
      <c r="N48" s="37">
        <v>3123901.3702000002</v>
      </c>
      <c r="O48" s="357" t="s">
        <v>4511</v>
      </c>
      <c r="P48" s="357">
        <v>36797</v>
      </c>
      <c r="Q48" s="1">
        <v>239.0822</v>
      </c>
      <c r="R48" s="1">
        <f t="shared" si="11"/>
        <v>8797507.7134000007</v>
      </c>
      <c r="S48" s="357" t="s">
        <v>422</v>
      </c>
      <c r="AB48" s="356"/>
      <c r="AC48" s="356"/>
      <c r="AI48" s="11">
        <v>29</v>
      </c>
      <c r="AJ48" s="3" t="s">
        <v>3826</v>
      </c>
      <c r="AK48" s="3">
        <v>-1500000</v>
      </c>
      <c r="AL48" s="11">
        <v>0</v>
      </c>
      <c r="AM48" s="11">
        <f t="shared" si="13"/>
        <v>1357</v>
      </c>
      <c r="AN48" s="3">
        <f t="shared" si="12"/>
        <v>-2035500000</v>
      </c>
      <c r="AO48" s="11"/>
    </row>
    <row r="49" spans="1:42">
      <c r="A49" s="495" t="s">
        <v>7050</v>
      </c>
      <c r="B49" s="359">
        <f>C49*D49</f>
        <v>0</v>
      </c>
      <c r="C49" s="378">
        <v>0</v>
      </c>
      <c r="D49" s="363">
        <f>IF(D43&gt;150,150,D43)</f>
        <v>131</v>
      </c>
      <c r="E49" s="364">
        <f t="shared" si="17"/>
        <v>0</v>
      </c>
      <c r="F49" s="486" t="s">
        <v>25</v>
      </c>
      <c r="G49" s="354"/>
      <c r="H49" s="37"/>
      <c r="J49" s="499"/>
      <c r="L49" s="189" t="s">
        <v>5642</v>
      </c>
      <c r="M49" s="189" t="s">
        <v>5434</v>
      </c>
      <c r="N49" s="131">
        <v>-322076.40905199997</v>
      </c>
      <c r="O49" s="357" t="s">
        <v>4520</v>
      </c>
      <c r="P49" s="357">
        <v>28066</v>
      </c>
      <c r="Q49" s="1">
        <v>237.56970000000001</v>
      </c>
      <c r="R49" s="1">
        <f t="shared" si="11"/>
        <v>6667631.2002000008</v>
      </c>
      <c r="S49" s="357" t="s">
        <v>690</v>
      </c>
      <c r="AB49" s="356"/>
      <c r="AC49" s="356"/>
      <c r="AD49" t="s">
        <v>25</v>
      </c>
      <c r="AE49" t="s">
        <v>25</v>
      </c>
      <c r="AI49" s="11">
        <v>30</v>
      </c>
      <c r="AJ49" s="3" t="s">
        <v>3826</v>
      </c>
      <c r="AK49" s="3">
        <v>3050000</v>
      </c>
      <c r="AL49" s="11">
        <v>3</v>
      </c>
      <c r="AM49" s="11">
        <f>AM50+AL49</f>
        <v>1357</v>
      </c>
      <c r="AN49" s="3">
        <f t="shared" si="12"/>
        <v>4138850000</v>
      </c>
      <c r="AO49" s="11"/>
    </row>
    <row r="50" spans="1:42">
      <c r="A50" s="504" t="s">
        <v>6918</v>
      </c>
      <c r="B50" s="359">
        <f t="shared" si="18"/>
        <v>0</v>
      </c>
      <c r="C50" s="378">
        <v>0</v>
      </c>
      <c r="D50" s="363">
        <f>'خرید و فروش نسبتی'!O19</f>
        <v>400</v>
      </c>
      <c r="E50" s="364">
        <f t="shared" si="17"/>
        <v>0</v>
      </c>
      <c r="F50" s="486"/>
      <c r="G50" s="354"/>
      <c r="H50" s="37"/>
      <c r="I50" s="35"/>
      <c r="J50" s="499"/>
      <c r="L50" s="370" t="s">
        <v>4810</v>
      </c>
      <c r="M50" s="370" t="s">
        <v>5434</v>
      </c>
      <c r="N50" s="37">
        <v>-1500000</v>
      </c>
      <c r="O50" s="357" t="s">
        <v>4520</v>
      </c>
      <c r="P50" s="357">
        <v>28066</v>
      </c>
      <c r="Q50" s="1">
        <v>237.56970000000001</v>
      </c>
      <c r="R50" s="1">
        <f t="shared" si="11"/>
        <v>6667631.2002000008</v>
      </c>
      <c r="S50" s="357" t="s">
        <v>422</v>
      </c>
      <c r="AB50" s="356"/>
      <c r="AC50" s="356"/>
      <c r="AI50" s="11">
        <v>31</v>
      </c>
      <c r="AJ50" s="3" t="s">
        <v>3850</v>
      </c>
      <c r="AK50" s="3">
        <v>-8299612</v>
      </c>
      <c r="AL50" s="11">
        <v>2</v>
      </c>
      <c r="AM50" s="11">
        <f t="shared" si="13"/>
        <v>1354</v>
      </c>
      <c r="AN50" s="3">
        <f t="shared" si="12"/>
        <v>-11237674648</v>
      </c>
      <c r="AO50" s="11"/>
    </row>
    <row r="51" spans="1:42">
      <c r="A51" s="504" t="s">
        <v>7032</v>
      </c>
      <c r="B51" s="359">
        <f t="shared" si="18"/>
        <v>664400000</v>
      </c>
      <c r="C51" s="378">
        <v>1661000</v>
      </c>
      <c r="D51" s="363">
        <f>IF(D50&gt;450,450,D50)</f>
        <v>400</v>
      </c>
      <c r="E51" s="364">
        <f t="shared" si="17"/>
        <v>2.5262100018958487</v>
      </c>
      <c r="F51" s="486"/>
      <c r="G51" s="2"/>
      <c r="H51" s="37"/>
      <c r="I51" s="35"/>
      <c r="L51" s="189" t="s">
        <v>5447</v>
      </c>
      <c r="M51" s="189" t="s">
        <v>5434</v>
      </c>
      <c r="N51" s="131">
        <v>15000000</v>
      </c>
      <c r="O51" s="357" t="s">
        <v>3599</v>
      </c>
      <c r="P51" s="357">
        <v>37457</v>
      </c>
      <c r="Q51" s="1">
        <v>239.77</v>
      </c>
      <c r="R51" s="1">
        <f t="shared" si="11"/>
        <v>8981064.8900000006</v>
      </c>
      <c r="S51" s="357" t="s">
        <v>690</v>
      </c>
      <c r="AA51" t="s">
        <v>25</v>
      </c>
      <c r="AB51" s="356"/>
      <c r="AC51" s="356"/>
      <c r="AI51" s="11">
        <v>32</v>
      </c>
      <c r="AJ51" s="3" t="s">
        <v>3845</v>
      </c>
      <c r="AK51" s="3">
        <v>5000000</v>
      </c>
      <c r="AL51" s="11">
        <v>14</v>
      </c>
      <c r="AM51" s="11">
        <f t="shared" si="13"/>
        <v>1352</v>
      </c>
      <c r="AN51" s="3">
        <f t="shared" si="12"/>
        <v>6760000000</v>
      </c>
      <c r="AO51" s="11"/>
    </row>
    <row r="52" spans="1:42" ht="30">
      <c r="A52" s="318" t="s">
        <v>1004</v>
      </c>
      <c r="B52" s="359">
        <f t="shared" si="18"/>
        <v>0</v>
      </c>
      <c r="C52" s="378">
        <v>0</v>
      </c>
      <c r="D52" s="359">
        <v>2860000</v>
      </c>
      <c r="E52" s="364">
        <f t="shared" si="17"/>
        <v>0</v>
      </c>
      <c r="F52" s="367"/>
      <c r="G52" s="48" t="s">
        <v>5354</v>
      </c>
      <c r="H52" s="37"/>
      <c r="I52" s="35"/>
      <c r="L52" s="189" t="s">
        <v>5457</v>
      </c>
      <c r="M52" s="189" t="s">
        <v>5454</v>
      </c>
      <c r="N52" s="131">
        <v>-1500000</v>
      </c>
      <c r="O52" s="357" t="s">
        <v>3599</v>
      </c>
      <c r="P52" s="357">
        <v>37457</v>
      </c>
      <c r="Q52" s="1">
        <v>239.77</v>
      </c>
      <c r="R52" s="1">
        <f t="shared" si="11"/>
        <v>8981064.8900000006</v>
      </c>
      <c r="S52" s="357" t="s">
        <v>422</v>
      </c>
      <c r="AB52" s="356"/>
      <c r="AC52" s="356"/>
      <c r="AI52" s="11">
        <v>33</v>
      </c>
      <c r="AJ52" s="3" t="s">
        <v>910</v>
      </c>
      <c r="AK52" s="3">
        <v>-90000</v>
      </c>
      <c r="AL52" s="11">
        <v>1</v>
      </c>
      <c r="AM52" s="11">
        <f>AN53+AL52</f>
        <v>1338</v>
      </c>
      <c r="AN52" s="3">
        <f t="shared" si="12"/>
        <v>-120420000</v>
      </c>
      <c r="AO52" s="11"/>
    </row>
    <row r="53" spans="1:42">
      <c r="A53" s="318" t="s">
        <v>4927</v>
      </c>
      <c r="B53" s="359">
        <f t="shared" si="18"/>
        <v>0</v>
      </c>
      <c r="C53" s="378">
        <v>0</v>
      </c>
      <c r="D53" s="363">
        <v>50000</v>
      </c>
      <c r="E53" s="364">
        <f t="shared" si="17"/>
        <v>0</v>
      </c>
      <c r="F53" s="486" t="s">
        <v>25</v>
      </c>
      <c r="G53" s="475"/>
      <c r="H53" s="475"/>
      <c r="I53" s="35"/>
      <c r="L53" s="189" t="s">
        <v>5520</v>
      </c>
      <c r="M53" s="189" t="s">
        <v>5518</v>
      </c>
      <c r="N53" s="131">
        <v>-70000</v>
      </c>
      <c r="O53" s="357" t="s">
        <v>4531</v>
      </c>
      <c r="P53" s="357">
        <v>38412</v>
      </c>
      <c r="Q53" s="1">
        <v>239.03</v>
      </c>
      <c r="R53" s="1">
        <f t="shared" si="11"/>
        <v>9181620.3599999994</v>
      </c>
      <c r="S53" s="357" t="s">
        <v>690</v>
      </c>
      <c r="AA53" t="s">
        <v>25</v>
      </c>
      <c r="AB53" s="356"/>
      <c r="AC53" s="356"/>
      <c r="AJ53" s="11">
        <v>34</v>
      </c>
      <c r="AK53" s="3" t="s">
        <v>3966</v>
      </c>
      <c r="AL53" s="3">
        <v>5600000</v>
      </c>
      <c r="AM53" s="11">
        <v>4</v>
      </c>
      <c r="AN53" s="11">
        <f t="shared" si="13"/>
        <v>1337</v>
      </c>
      <c r="AO53" s="3">
        <f t="shared" si="12"/>
        <v>7487200000</v>
      </c>
      <c r="AP53" s="11"/>
    </row>
    <row r="54" spans="1:42">
      <c r="A54" s="318"/>
      <c r="B54" s="359"/>
      <c r="C54" s="378"/>
      <c r="D54" s="363"/>
      <c r="E54" s="364"/>
      <c r="F54" s="486"/>
      <c r="G54" s="2" t="s">
        <v>4378</v>
      </c>
      <c r="H54" s="2" t="s">
        <v>4488</v>
      </c>
      <c r="I54" s="28" t="s">
        <v>4490</v>
      </c>
      <c r="J54" s="28" t="s">
        <v>4465</v>
      </c>
      <c r="K54" s="151" t="s">
        <v>4466</v>
      </c>
      <c r="L54" s="189" t="s">
        <v>5526</v>
      </c>
      <c r="M54" s="189" t="s">
        <v>5524</v>
      </c>
      <c r="N54" s="131">
        <v>1300000</v>
      </c>
      <c r="O54" s="357" t="s">
        <v>4531</v>
      </c>
      <c r="P54" s="357">
        <v>38412</v>
      </c>
      <c r="Q54" s="1">
        <v>239.03</v>
      </c>
      <c r="R54" s="1">
        <f t="shared" si="11"/>
        <v>9181620.3599999994</v>
      </c>
      <c r="S54" s="357" t="s">
        <v>422</v>
      </c>
      <c r="AA54" t="s">
        <v>25</v>
      </c>
      <c r="AB54" s="356"/>
      <c r="AC54" s="356"/>
      <c r="AJ54" s="11">
        <v>35</v>
      </c>
      <c r="AK54" s="3" t="s">
        <v>3894</v>
      </c>
      <c r="AL54" s="3">
        <v>750000</v>
      </c>
      <c r="AM54" s="11">
        <v>2</v>
      </c>
      <c r="AN54" s="11">
        <f t="shared" si="13"/>
        <v>1333</v>
      </c>
      <c r="AO54" s="3">
        <f t="shared" si="12"/>
        <v>999750000</v>
      </c>
      <c r="AP54" s="11"/>
    </row>
    <row r="55" spans="1:42">
      <c r="A55" s="363" t="s">
        <v>1069</v>
      </c>
      <c r="B55" s="359">
        <v>14908</v>
      </c>
      <c r="C55" s="363">
        <v>1</v>
      </c>
      <c r="D55" s="363" t="s">
        <v>25</v>
      </c>
      <c r="E55" s="364"/>
      <c r="F55" s="439">
        <f>SUM(F1:F52)</f>
        <v>104400000</v>
      </c>
      <c r="G55" s="143" t="s">
        <v>4134</v>
      </c>
      <c r="H55" s="137">
        <v>790</v>
      </c>
      <c r="I55" s="144">
        <f>H55*$I$63</f>
        <v>22594000000</v>
      </c>
      <c r="J55" s="144">
        <f>B27+B19+B36</f>
        <v>21315056598</v>
      </c>
      <c r="K55" s="473">
        <f>I55-J55</f>
        <v>1278943402</v>
      </c>
      <c r="L55" s="189" t="s">
        <v>60</v>
      </c>
      <c r="M55" s="189" t="s">
        <v>5532</v>
      </c>
      <c r="N55" s="131">
        <v>90000000</v>
      </c>
      <c r="O55" s="357" t="s">
        <v>4533</v>
      </c>
      <c r="P55" s="357">
        <v>49555</v>
      </c>
      <c r="Q55" s="1">
        <v>238.345</v>
      </c>
      <c r="R55" s="1">
        <f t="shared" si="11"/>
        <v>11811186.475</v>
      </c>
      <c r="S55" s="357" t="s">
        <v>690</v>
      </c>
      <c r="AB55" s="356"/>
      <c r="AC55" s="356"/>
      <c r="AJ55" s="117">
        <v>36</v>
      </c>
      <c r="AK55" s="116" t="s">
        <v>3904</v>
      </c>
      <c r="AL55" s="116">
        <v>-4242000</v>
      </c>
      <c r="AM55" s="117">
        <v>2</v>
      </c>
      <c r="AN55" s="117">
        <f t="shared" si="13"/>
        <v>1331</v>
      </c>
      <c r="AO55" s="116">
        <f t="shared" si="12"/>
        <v>-5646102000</v>
      </c>
      <c r="AP55" s="117" t="s">
        <v>3975</v>
      </c>
    </row>
    <row r="56" spans="1:42">
      <c r="A56" s="363" t="s">
        <v>1070</v>
      </c>
      <c r="B56" s="359">
        <v>5282</v>
      </c>
      <c r="C56" s="363"/>
      <c r="D56" s="363" t="s">
        <v>25</v>
      </c>
      <c r="E56" s="364"/>
      <c r="F56" s="373" t="s">
        <v>7045</v>
      </c>
      <c r="G56" s="28" t="s">
        <v>5139</v>
      </c>
      <c r="H56" s="2">
        <v>254</v>
      </c>
      <c r="I56" s="1">
        <f>H56*$I$63</f>
        <v>7264400000</v>
      </c>
      <c r="J56" s="1">
        <f>B37+B20+B28</f>
        <v>8564.6511627906966</v>
      </c>
      <c r="K56" s="59">
        <f>I56-J56</f>
        <v>7264391435.3488369</v>
      </c>
      <c r="L56" s="189" t="s">
        <v>5603</v>
      </c>
      <c r="M56" s="189" t="s">
        <v>5600</v>
      </c>
      <c r="N56" s="131">
        <v>33832510.64875</v>
      </c>
      <c r="O56" s="357" t="s">
        <v>4533</v>
      </c>
      <c r="P56" s="357">
        <v>49555</v>
      </c>
      <c r="Q56" s="1">
        <v>238.345</v>
      </c>
      <c r="R56" s="1">
        <f t="shared" si="11"/>
        <v>11811186.475</v>
      </c>
      <c r="S56" s="357" t="s">
        <v>422</v>
      </c>
      <c r="AB56" s="356"/>
      <c r="AC56" s="356"/>
      <c r="AJ56" s="11">
        <v>37</v>
      </c>
      <c r="AK56" s="3" t="s">
        <v>3904</v>
      </c>
      <c r="AL56" s="3">
        <v>4100000</v>
      </c>
      <c r="AM56" s="11">
        <v>0</v>
      </c>
      <c r="AN56" s="11">
        <f t="shared" si="13"/>
        <v>1329</v>
      </c>
      <c r="AO56" s="3">
        <f t="shared" si="12"/>
        <v>5448900000</v>
      </c>
      <c r="AP56" s="11"/>
    </row>
    <row r="57" spans="1:42">
      <c r="A57" s="354"/>
      <c r="B57" s="355"/>
      <c r="C57" s="373">
        <f>SUM(B1:B54)-F55</f>
        <v>26300267970.651161</v>
      </c>
      <c r="D57" s="354">
        <v>90</v>
      </c>
      <c r="E57" s="357">
        <v>335</v>
      </c>
      <c r="F57" s="354">
        <v>80</v>
      </c>
      <c r="G57" s="143" t="s">
        <v>6645</v>
      </c>
      <c r="H57" s="137"/>
      <c r="I57" s="144">
        <v>0</v>
      </c>
      <c r="J57" s="144" t="e">
        <f>B4+B12+B13+B29+B21+B43+B44+#REF!+B50+#REF!+#REF!</f>
        <v>#REF!</v>
      </c>
      <c r="K57" s="473" t="e">
        <f>I57-J57</f>
        <v>#REF!</v>
      </c>
      <c r="L57" s="189" t="s">
        <v>5617</v>
      </c>
      <c r="M57" s="189" t="s">
        <v>5615</v>
      </c>
      <c r="N57" s="131">
        <v>21634932</v>
      </c>
      <c r="O57" s="357" t="s">
        <v>4545</v>
      </c>
      <c r="P57" s="357">
        <v>160187</v>
      </c>
      <c r="Q57" s="1">
        <v>257.49799999999999</v>
      </c>
      <c r="R57" s="1">
        <f t="shared" si="11"/>
        <v>41247832.126000002</v>
      </c>
      <c r="S57" s="357" t="s">
        <v>690</v>
      </c>
      <c r="AB57" s="356"/>
      <c r="AC57" s="356"/>
      <c r="AJ57" s="11">
        <v>38</v>
      </c>
      <c r="AK57" s="3" t="s">
        <v>3910</v>
      </c>
      <c r="AL57" s="3">
        <v>4100000</v>
      </c>
      <c r="AM57" s="11">
        <v>1</v>
      </c>
      <c r="AN57" s="11">
        <f t="shared" si="13"/>
        <v>1329</v>
      </c>
      <c r="AO57" s="3">
        <f t="shared" si="12"/>
        <v>5448900000</v>
      </c>
      <c r="AP57" s="11"/>
    </row>
    <row r="58" spans="1:42">
      <c r="A58" s="354"/>
      <c r="B58" s="355"/>
      <c r="C58" s="355" t="s">
        <v>4927</v>
      </c>
      <c r="D58" s="357" t="s">
        <v>4542</v>
      </c>
      <c r="E58" s="279" t="s">
        <v>4134</v>
      </c>
      <c r="F58" s="279" t="s">
        <v>5139</v>
      </c>
      <c r="G58" s="189" t="s">
        <v>5160</v>
      </c>
      <c r="H58" s="132">
        <v>0</v>
      </c>
      <c r="I58" s="190">
        <f>H58*$I$63</f>
        <v>0</v>
      </c>
      <c r="J58" s="190">
        <f>B26+B18+B35</f>
        <v>10478346</v>
      </c>
      <c r="K58" s="157">
        <f>I58-J58</f>
        <v>-10478346</v>
      </c>
      <c r="L58" s="189" t="s">
        <v>4615</v>
      </c>
      <c r="M58" s="189" t="s">
        <v>5615</v>
      </c>
      <c r="N58" s="131">
        <v>-22520813.151772</v>
      </c>
      <c r="O58" s="357" t="s">
        <v>4545</v>
      </c>
      <c r="P58" s="357">
        <v>160187</v>
      </c>
      <c r="Q58" s="1">
        <v>257.49799999999999</v>
      </c>
      <c r="R58" s="1">
        <f t="shared" si="11"/>
        <v>41247832.126000002</v>
      </c>
      <c r="S58" s="357" t="s">
        <v>422</v>
      </c>
      <c r="AA58" t="s">
        <v>25</v>
      </c>
      <c r="AB58" s="356"/>
      <c r="AC58" s="356"/>
      <c r="AJ58" s="11">
        <v>39</v>
      </c>
      <c r="AK58" s="3" t="s">
        <v>3919</v>
      </c>
      <c r="AL58" s="3">
        <v>790000</v>
      </c>
      <c r="AM58" s="11">
        <v>15</v>
      </c>
      <c r="AN58" s="11">
        <f t="shared" si="13"/>
        <v>1328</v>
      </c>
      <c r="AO58" s="3">
        <f t="shared" si="12"/>
        <v>1049120000</v>
      </c>
      <c r="AP58" s="11"/>
    </row>
    <row r="59" spans="1:42">
      <c r="A59" s="354"/>
      <c r="B59" s="355" t="s">
        <v>6867</v>
      </c>
      <c r="C59" s="373">
        <f>C57/D53</f>
        <v>526005.35941302322</v>
      </c>
      <c r="D59" s="373">
        <f>C57/D38</f>
        <v>46797629.8410163</v>
      </c>
      <c r="E59" s="373">
        <f>C57/D36</f>
        <v>12949418.00622903</v>
      </c>
      <c r="F59" s="373">
        <f>C57/D37</f>
        <v>30707926.651949607</v>
      </c>
      <c r="G59" s="143"/>
      <c r="H59" s="137"/>
      <c r="I59" s="144"/>
      <c r="J59" s="144"/>
      <c r="K59" s="473"/>
      <c r="L59" s="370" t="s">
        <v>5996</v>
      </c>
      <c r="M59" s="370" t="s">
        <v>5994</v>
      </c>
      <c r="N59" s="37">
        <v>-6000000</v>
      </c>
      <c r="O59" s="357" t="s">
        <v>4552</v>
      </c>
      <c r="P59" s="357">
        <v>144401</v>
      </c>
      <c r="Q59" s="1">
        <v>258.5061</v>
      </c>
      <c r="R59" s="1">
        <f t="shared" si="11"/>
        <v>37328539.346100003</v>
      </c>
      <c r="S59" s="357" t="s">
        <v>690</v>
      </c>
      <c r="AB59" s="356"/>
      <c r="AC59" s="356"/>
      <c r="AJ59" s="117">
        <v>40</v>
      </c>
      <c r="AK59" s="116" t="s">
        <v>3950</v>
      </c>
      <c r="AL59" s="116">
        <v>-3865000</v>
      </c>
      <c r="AM59" s="117">
        <v>6</v>
      </c>
      <c r="AN59" s="117">
        <f t="shared" si="13"/>
        <v>1313</v>
      </c>
      <c r="AO59" s="118">
        <f t="shared" si="12"/>
        <v>-5074745000</v>
      </c>
      <c r="AP59" s="117" t="s">
        <v>3976</v>
      </c>
    </row>
    <row r="60" spans="1:42">
      <c r="A60" s="354"/>
      <c r="B60" s="355" t="s">
        <v>6868</v>
      </c>
      <c r="C60" s="373">
        <v>0</v>
      </c>
      <c r="D60" s="373">
        <f>C38+C33+C24</f>
        <v>830000</v>
      </c>
      <c r="E60" s="373">
        <f>C2+C9+C27+C36+C19</f>
        <v>11604942</v>
      </c>
      <c r="F60" s="373">
        <f>C3+C10+C28+C37+C20</f>
        <v>10</v>
      </c>
      <c r="G60" s="170" t="s">
        <v>6597</v>
      </c>
      <c r="H60" s="134">
        <v>-290</v>
      </c>
      <c r="I60" s="171">
        <f>H60*$I$63</f>
        <v>-8294000000</v>
      </c>
      <c r="J60" s="171">
        <v>0</v>
      </c>
      <c r="K60" s="155">
        <f>I60-J60</f>
        <v>-8294000000</v>
      </c>
      <c r="L60" s="189" t="s">
        <v>5241</v>
      </c>
      <c r="M60" s="189" t="s">
        <v>6060</v>
      </c>
      <c r="N60" s="131">
        <v>130888.351165</v>
      </c>
      <c r="O60" s="357" t="s">
        <v>4552</v>
      </c>
      <c r="P60" s="357">
        <v>144401</v>
      </c>
      <c r="Q60" s="1">
        <v>258.5061</v>
      </c>
      <c r="R60" s="1">
        <f t="shared" si="11"/>
        <v>37328539.346100003</v>
      </c>
      <c r="S60" s="357" t="s">
        <v>422</v>
      </c>
      <c r="AB60" s="356"/>
      <c r="AC60" s="356"/>
      <c r="AJ60" s="20">
        <v>41</v>
      </c>
      <c r="AK60" s="37" t="s">
        <v>3980</v>
      </c>
      <c r="AL60" s="37">
        <v>18800000</v>
      </c>
      <c r="AM60" s="20">
        <v>3</v>
      </c>
      <c r="AN60" s="11">
        <f t="shared" si="13"/>
        <v>1307</v>
      </c>
      <c r="AO60" s="3">
        <f t="shared" si="12"/>
        <v>24571600000</v>
      </c>
      <c r="AP60" s="20"/>
    </row>
    <row r="61" spans="1:42">
      <c r="A61" s="354"/>
      <c r="B61" s="355" t="s">
        <v>6869</v>
      </c>
      <c r="C61" s="474"/>
      <c r="D61" s="474">
        <f>D60/D59</f>
        <v>1.7735940961534281E-2</v>
      </c>
      <c r="E61" s="474">
        <f>E60/E59</f>
        <v>0.89617479290711755</v>
      </c>
      <c r="F61" s="474">
        <f>F60/F59</f>
        <v>3.2564881743213075E-7</v>
      </c>
      <c r="G61" s="28"/>
      <c r="H61" s="2"/>
      <c r="I61" s="1"/>
      <c r="J61" s="1"/>
      <c r="K61" s="59"/>
      <c r="L61" s="189" t="s">
        <v>6160</v>
      </c>
      <c r="M61" s="189" t="s">
        <v>6156</v>
      </c>
      <c r="N61" s="131">
        <v>50000000</v>
      </c>
      <c r="O61" s="357" t="s">
        <v>4558</v>
      </c>
      <c r="P61" s="357">
        <v>196500</v>
      </c>
      <c r="Q61" s="1">
        <v>254.452</v>
      </c>
      <c r="R61" s="1">
        <f t="shared" si="11"/>
        <v>49999818</v>
      </c>
      <c r="S61" s="357" t="s">
        <v>4560</v>
      </c>
      <c r="AB61" s="356"/>
      <c r="AC61" s="356"/>
      <c r="AJ61" s="20">
        <v>42</v>
      </c>
      <c r="AK61" s="37" t="s">
        <v>3995</v>
      </c>
      <c r="AL61" s="37">
        <v>500000</v>
      </c>
      <c r="AM61" s="20">
        <v>1</v>
      </c>
      <c r="AN61" s="11">
        <f>AM62+AM61</f>
        <v>1304</v>
      </c>
      <c r="AO61" s="3">
        <f t="shared" si="12"/>
        <v>652000000</v>
      </c>
      <c r="AP61" s="20"/>
    </row>
    <row r="62" spans="1:42">
      <c r="A62" s="354"/>
      <c r="B62" s="355" t="s">
        <v>4037</v>
      </c>
      <c r="C62" s="355"/>
      <c r="D62" s="373">
        <f>D59*D57</f>
        <v>4211786685.6914668</v>
      </c>
      <c r="E62" s="373">
        <f>E59*E57</f>
        <v>4338055032.0867252</v>
      </c>
      <c r="F62" s="373">
        <f>F59*F57</f>
        <v>2456634132.1559687</v>
      </c>
      <c r="G62" s="143" t="s">
        <v>4859</v>
      </c>
      <c r="H62" s="137">
        <f>SUM(H55:H60)</f>
        <v>754</v>
      </c>
      <c r="I62" s="144"/>
      <c r="J62" s="144"/>
      <c r="K62" s="473"/>
      <c r="L62" s="370" t="s">
        <v>6177</v>
      </c>
      <c r="M62" s="370" t="s">
        <v>6176</v>
      </c>
      <c r="N62" s="37">
        <v>96000</v>
      </c>
      <c r="O62" s="357" t="s">
        <v>4558</v>
      </c>
      <c r="P62" s="357">
        <v>2561</v>
      </c>
      <c r="Q62" s="1">
        <v>254.536</v>
      </c>
      <c r="R62" s="1">
        <f t="shared" si="11"/>
        <v>651866.696</v>
      </c>
      <c r="S62" s="357" t="s">
        <v>4561</v>
      </c>
      <c r="AA62" t="s">
        <v>25</v>
      </c>
      <c r="AB62" s="356"/>
      <c r="AC62" s="356"/>
      <c r="AI62" s="20">
        <v>43</v>
      </c>
      <c r="AJ62" s="37" t="s">
        <v>3999</v>
      </c>
      <c r="AK62" s="37">
        <v>200000</v>
      </c>
      <c r="AL62" s="20">
        <v>3</v>
      </c>
      <c r="AM62" s="11">
        <f>AM63+AL62</f>
        <v>1303</v>
      </c>
      <c r="AN62" s="3">
        <f>AK62*AM62</f>
        <v>260600000</v>
      </c>
      <c r="AO62" s="20"/>
    </row>
    <row r="63" spans="1:42">
      <c r="A63" s="355"/>
      <c r="B63" s="354" t="s">
        <v>6870</v>
      </c>
      <c r="C63" s="354"/>
      <c r="D63" s="373">
        <f>D60*80</f>
        <v>66400000</v>
      </c>
      <c r="E63" s="373">
        <f>E60*E57</f>
        <v>3887655570</v>
      </c>
      <c r="F63" s="373">
        <f>F60*F57</f>
        <v>800</v>
      </c>
      <c r="G63" s="28"/>
      <c r="H63" s="2">
        <v>0</v>
      </c>
      <c r="I63" s="34">
        <f>10*D52</f>
        <v>28600000</v>
      </c>
      <c r="J63" s="1">
        <f>H63*I63</f>
        <v>0</v>
      </c>
      <c r="K63" s="59" t="e">
        <f>SUM(K55:K61)-J63</f>
        <v>#REF!</v>
      </c>
      <c r="L63" s="189" t="s">
        <v>6568</v>
      </c>
      <c r="M63" s="189" t="s">
        <v>6566</v>
      </c>
      <c r="N63" s="131">
        <v>-40615000</v>
      </c>
      <c r="O63" s="357" t="s">
        <v>4599</v>
      </c>
      <c r="P63" s="357">
        <v>-11795</v>
      </c>
      <c r="Q63" s="1">
        <v>254.334</v>
      </c>
      <c r="R63" s="1">
        <f t="shared" si="11"/>
        <v>-2999869.5300000003</v>
      </c>
      <c r="S63" s="357" t="s">
        <v>4600</v>
      </c>
      <c r="AB63" s="356"/>
      <c r="AC63" s="356"/>
      <c r="AI63" s="20">
        <v>44</v>
      </c>
      <c r="AJ63" s="37" t="s">
        <v>4006</v>
      </c>
      <c r="AK63" s="37">
        <v>1000000</v>
      </c>
      <c r="AL63" s="20">
        <v>3</v>
      </c>
      <c r="AM63" s="11">
        <f>AN64+AL63</f>
        <v>1300</v>
      </c>
      <c r="AN63" s="3">
        <f>AK63*AM63</f>
        <v>1300000000</v>
      </c>
      <c r="AO63" s="20"/>
    </row>
    <row r="64" spans="1:42">
      <c r="A64" s="11"/>
      <c r="B64" s="373"/>
      <c r="C64" s="373" t="s">
        <v>25</v>
      </c>
      <c r="D64" s="373">
        <f>D60*D38</f>
        <v>466460000</v>
      </c>
      <c r="E64" s="373">
        <f>E60*D36</f>
        <v>23569637202</v>
      </c>
      <c r="F64" s="373">
        <f>F60*D37</f>
        <v>8564.6511627906966</v>
      </c>
      <c r="G64" s="143"/>
      <c r="H64" s="160"/>
      <c r="I64" s="144" t="s">
        <v>4144</v>
      </c>
      <c r="J64" s="144" t="s">
        <v>4482</v>
      </c>
      <c r="K64" s="473" t="s">
        <v>4483</v>
      </c>
      <c r="L64" s="189" t="s">
        <v>6589</v>
      </c>
      <c r="M64" s="189" t="s">
        <v>6588</v>
      </c>
      <c r="N64" s="131">
        <v>7300000</v>
      </c>
      <c r="O64" s="357" t="s">
        <v>4599</v>
      </c>
      <c r="P64" s="357">
        <v>11795</v>
      </c>
      <c r="Q64" s="1">
        <v>254.334</v>
      </c>
      <c r="R64" s="1">
        <f t="shared" si="11"/>
        <v>2999869.5300000003</v>
      </c>
      <c r="S64" s="357" t="s">
        <v>4601</v>
      </c>
      <c r="AB64" s="356"/>
      <c r="AC64" s="356"/>
      <c r="AD64" t="s">
        <v>25</v>
      </c>
      <c r="AJ64" s="20">
        <v>45</v>
      </c>
      <c r="AK64" s="37" t="s">
        <v>4009</v>
      </c>
      <c r="AL64" s="37">
        <v>1300000</v>
      </c>
      <c r="AM64" s="20">
        <v>0</v>
      </c>
      <c r="AN64" s="11">
        <f>AN65+AM64</f>
        <v>1297</v>
      </c>
      <c r="AO64" s="3">
        <f t="shared" ref="AO64:AO95" si="19">AL64*AN64</f>
        <v>1686100000</v>
      </c>
      <c r="AP64" s="20"/>
    </row>
    <row r="65" spans="1:42" ht="30">
      <c r="A65" s="354" t="s">
        <v>8</v>
      </c>
      <c r="B65" s="2" t="s">
        <v>180</v>
      </c>
      <c r="C65" s="2" t="s">
        <v>4927</v>
      </c>
      <c r="D65" s="28" t="s">
        <v>4542</v>
      </c>
      <c r="E65" s="317" t="s">
        <v>4134</v>
      </c>
      <c r="F65" s="317" t="s">
        <v>5139</v>
      </c>
      <c r="G65" s="279" t="s">
        <v>4489</v>
      </c>
      <c r="H65" s="28"/>
      <c r="I65" s="1"/>
      <c r="J65" s="1"/>
      <c r="K65" s="59"/>
      <c r="L65" s="370" t="s">
        <v>6623</v>
      </c>
      <c r="M65" s="370" t="s">
        <v>6620</v>
      </c>
      <c r="N65" s="37">
        <v>-6128000</v>
      </c>
      <c r="O65" s="357" t="s">
        <v>4613</v>
      </c>
      <c r="P65" s="357">
        <v>260</v>
      </c>
      <c r="Q65" s="1">
        <v>263.19</v>
      </c>
      <c r="R65" s="1">
        <f t="shared" si="11"/>
        <v>68429.399999999994</v>
      </c>
      <c r="S65" s="357" t="s">
        <v>422</v>
      </c>
      <c r="AB65" s="356"/>
      <c r="AC65" s="356"/>
      <c r="AJ65" s="20">
        <v>45</v>
      </c>
      <c r="AK65" s="37" t="s">
        <v>4009</v>
      </c>
      <c r="AL65" s="37">
        <v>995000</v>
      </c>
      <c r="AM65" s="20">
        <v>2</v>
      </c>
      <c r="AN65" s="11">
        <f t="shared" ref="AN65:AN92" si="20">AN66+AM65</f>
        <v>1297</v>
      </c>
      <c r="AO65" s="3">
        <f t="shared" si="19"/>
        <v>1290515000</v>
      </c>
      <c r="AP65" s="20"/>
    </row>
    <row r="66" spans="1:42">
      <c r="A66" s="354"/>
      <c r="B66" s="354"/>
      <c r="C66" s="373"/>
      <c r="D66" s="373"/>
      <c r="E66" s="373"/>
      <c r="F66" s="373"/>
      <c r="J66" s="469" t="s">
        <v>25</v>
      </c>
      <c r="K66" s="35"/>
      <c r="L66" s="189" t="s">
        <v>6655</v>
      </c>
      <c r="M66" s="189" t="s">
        <v>6653</v>
      </c>
      <c r="N66" s="131">
        <v>-79825035</v>
      </c>
      <c r="O66" s="357" t="s">
        <v>4622</v>
      </c>
      <c r="P66" s="357">
        <v>15257</v>
      </c>
      <c r="Q66" s="1">
        <v>262.19018</v>
      </c>
      <c r="R66" s="1">
        <f t="shared" si="11"/>
        <v>4000235.57626</v>
      </c>
      <c r="S66" s="357" t="s">
        <v>422</v>
      </c>
      <c r="AB66" s="356"/>
      <c r="AC66" s="356"/>
      <c r="AJ66" s="20">
        <v>46</v>
      </c>
      <c r="AK66" s="37" t="s">
        <v>4018</v>
      </c>
      <c r="AL66" s="37">
        <v>13000000</v>
      </c>
      <c r="AM66" s="20">
        <v>2</v>
      </c>
      <c r="AN66" s="11">
        <f t="shared" si="20"/>
        <v>1295</v>
      </c>
      <c r="AO66" s="3">
        <f t="shared" si="19"/>
        <v>16835000000</v>
      </c>
      <c r="AP66" s="20"/>
    </row>
    <row r="67" spans="1:42">
      <c r="A67" s="354"/>
      <c r="B67" s="354" t="s">
        <v>6916</v>
      </c>
      <c r="C67" s="373">
        <v>487778</v>
      </c>
      <c r="D67" s="373">
        <v>37410736</v>
      </c>
      <c r="E67" s="373">
        <v>9793235</v>
      </c>
      <c r="F67" s="373">
        <v>34092042</v>
      </c>
      <c r="J67" s="353"/>
      <c r="K67" s="35"/>
      <c r="L67" s="370" t="s">
        <v>6679</v>
      </c>
      <c r="M67" s="370" t="s">
        <v>6674</v>
      </c>
      <c r="N67" s="37">
        <v>-11300000</v>
      </c>
      <c r="O67" s="357" t="s">
        <v>4622</v>
      </c>
      <c r="P67" s="357">
        <v>8444</v>
      </c>
      <c r="Q67" s="1">
        <v>266.43029999999999</v>
      </c>
      <c r="R67" s="1">
        <f t="shared" si="11"/>
        <v>2249737.4531999999</v>
      </c>
      <c r="S67" s="357" t="s">
        <v>422</v>
      </c>
      <c r="AB67" s="356"/>
      <c r="AC67" s="356"/>
      <c r="AJ67" s="20">
        <v>47</v>
      </c>
      <c r="AK67" s="37" t="s">
        <v>4031</v>
      </c>
      <c r="AL67" s="37">
        <v>-3100000</v>
      </c>
      <c r="AM67" s="20">
        <v>3</v>
      </c>
      <c r="AN67" s="11">
        <f t="shared" si="20"/>
        <v>1293</v>
      </c>
      <c r="AO67" s="3">
        <f t="shared" si="19"/>
        <v>-4008300000</v>
      </c>
      <c r="AP67" s="20"/>
    </row>
    <row r="68" spans="1:42">
      <c r="A68" s="354"/>
      <c r="B68" s="354" t="s">
        <v>6907</v>
      </c>
      <c r="C68" s="373">
        <v>480767</v>
      </c>
      <c r="D68" s="373">
        <v>37036830</v>
      </c>
      <c r="E68" s="373">
        <v>9912712</v>
      </c>
      <c r="F68" s="373">
        <v>33829310</v>
      </c>
      <c r="G68" s="2" t="s">
        <v>180</v>
      </c>
      <c r="H68" s="354" t="s">
        <v>5310</v>
      </c>
      <c r="J68" s="387"/>
      <c r="K68" s="338"/>
      <c r="L68" s="189"/>
      <c r="M68" s="189" t="s">
        <v>6686</v>
      </c>
      <c r="N68" s="131">
        <v>-15162600</v>
      </c>
      <c r="O68" s="208" t="s">
        <v>4627</v>
      </c>
      <c r="P68" s="208">
        <v>-6209</v>
      </c>
      <c r="Q68" s="390">
        <v>273.79649999999998</v>
      </c>
      <c r="R68" s="390">
        <f t="shared" si="11"/>
        <v>-1700002.4685</v>
      </c>
      <c r="S68" s="208" t="s">
        <v>6180</v>
      </c>
      <c r="AB68" s="356"/>
      <c r="AC68" s="356"/>
      <c r="AJ68" s="20">
        <v>48</v>
      </c>
      <c r="AK68" s="37" t="s">
        <v>4044</v>
      </c>
      <c r="AL68" s="37">
        <v>45640000</v>
      </c>
      <c r="AM68" s="20">
        <v>1</v>
      </c>
      <c r="AN68" s="11">
        <f t="shared" si="20"/>
        <v>1290</v>
      </c>
      <c r="AO68" s="3">
        <f t="shared" si="19"/>
        <v>58875600000</v>
      </c>
      <c r="AP68" s="20"/>
    </row>
    <row r="69" spans="1:42">
      <c r="A69" s="354" t="s">
        <v>25</v>
      </c>
      <c r="B69" s="354" t="s">
        <v>6906</v>
      </c>
      <c r="C69" s="373">
        <v>480041</v>
      </c>
      <c r="D69" s="373">
        <v>37625305</v>
      </c>
      <c r="E69" s="373">
        <v>9990984</v>
      </c>
      <c r="F69" s="373">
        <v>33862774</v>
      </c>
      <c r="G69" s="2" t="s">
        <v>5291</v>
      </c>
      <c r="H69" s="1">
        <v>30000000</v>
      </c>
      <c r="L69" s="189"/>
      <c r="M69" s="189" t="s">
        <v>6690</v>
      </c>
      <c r="N69" s="131">
        <v>-10216551.764954999</v>
      </c>
      <c r="O69" s="357" t="s">
        <v>4627</v>
      </c>
      <c r="P69" s="357">
        <v>-8014</v>
      </c>
      <c r="Q69" s="1">
        <v>273.79649999999998</v>
      </c>
      <c r="R69" s="1">
        <f t="shared" si="11"/>
        <v>-2194205.1510000001</v>
      </c>
      <c r="S69" s="357" t="s">
        <v>690</v>
      </c>
      <c r="AB69" s="356"/>
      <c r="AC69" s="356"/>
      <c r="AJ69" s="20">
        <v>49</v>
      </c>
      <c r="AK69" s="37" t="s">
        <v>4048</v>
      </c>
      <c r="AL69" s="37">
        <v>33500000</v>
      </c>
      <c r="AM69" s="20">
        <v>1</v>
      </c>
      <c r="AN69" s="11">
        <f t="shared" si="20"/>
        <v>1289</v>
      </c>
      <c r="AO69" s="3">
        <f t="shared" si="19"/>
        <v>43181500000</v>
      </c>
      <c r="AP69" s="20"/>
    </row>
    <row r="70" spans="1:42">
      <c r="A70" s="354" t="s">
        <v>6900</v>
      </c>
      <c r="B70" s="354" t="s">
        <v>6899</v>
      </c>
      <c r="C70" s="373">
        <v>471740</v>
      </c>
      <c r="D70" s="373">
        <v>41718521</v>
      </c>
      <c r="E70" s="373">
        <v>10053480</v>
      </c>
      <c r="F70" s="373">
        <v>34308378</v>
      </c>
      <c r="G70" s="2" t="s">
        <v>5292</v>
      </c>
      <c r="H70" s="1">
        <v>550000</v>
      </c>
      <c r="L70" s="189"/>
      <c r="M70" s="189" t="s">
        <v>6694</v>
      </c>
      <c r="N70" s="131">
        <v>-5095614.0723999999</v>
      </c>
      <c r="O70" s="357" t="s">
        <v>4636</v>
      </c>
      <c r="P70" s="357">
        <v>-9176</v>
      </c>
      <c r="Q70" s="1">
        <v>273.79649999999998</v>
      </c>
      <c r="R70" s="1">
        <f t="shared" si="11"/>
        <v>-2512356.6839999999</v>
      </c>
      <c r="S70" s="357" t="s">
        <v>422</v>
      </c>
      <c r="AB70" s="356"/>
      <c r="AC70" s="356"/>
      <c r="AJ70" s="20">
        <v>50</v>
      </c>
      <c r="AK70" s="37" t="s">
        <v>4053</v>
      </c>
      <c r="AL70" s="37">
        <v>12000000</v>
      </c>
      <c r="AM70" s="20">
        <v>1</v>
      </c>
      <c r="AN70" s="11">
        <f t="shared" si="20"/>
        <v>1288</v>
      </c>
      <c r="AO70" s="37">
        <f t="shared" si="19"/>
        <v>15456000000</v>
      </c>
      <c r="AP70" s="20"/>
    </row>
    <row r="71" spans="1:42">
      <c r="A71" s="322" t="s">
        <v>25</v>
      </c>
      <c r="B71" s="354" t="s">
        <v>6892</v>
      </c>
      <c r="C71" s="373">
        <v>453886</v>
      </c>
      <c r="D71" s="373">
        <v>38595784</v>
      </c>
      <c r="E71" s="373">
        <v>9214097</v>
      </c>
      <c r="F71" s="373">
        <v>32466840</v>
      </c>
      <c r="G71" s="2" t="s">
        <v>5293</v>
      </c>
      <c r="H71" s="1">
        <v>70370000</v>
      </c>
      <c r="L71" s="189" t="s">
        <v>6704</v>
      </c>
      <c r="M71" s="189" t="s">
        <v>6702</v>
      </c>
      <c r="N71" s="131">
        <v>-5464072.8466919996</v>
      </c>
      <c r="O71" s="357" t="s">
        <v>4636</v>
      </c>
      <c r="P71" s="357">
        <v>1087</v>
      </c>
      <c r="Q71" s="1">
        <v>273.79649999999998</v>
      </c>
      <c r="R71" s="1">
        <f t="shared" si="11"/>
        <v>297616.79550000001</v>
      </c>
      <c r="S71" s="357" t="s">
        <v>422</v>
      </c>
      <c r="AB71" s="356"/>
      <c r="AC71" s="356"/>
      <c r="AJ71" s="20">
        <v>51</v>
      </c>
      <c r="AK71" s="37" t="s">
        <v>4058</v>
      </c>
      <c r="AL71" s="37">
        <v>15500000</v>
      </c>
      <c r="AM71" s="20">
        <v>4</v>
      </c>
      <c r="AN71" s="11">
        <f t="shared" si="20"/>
        <v>1287</v>
      </c>
      <c r="AO71" s="37">
        <f t="shared" si="19"/>
        <v>19948500000</v>
      </c>
      <c r="AP71" s="20"/>
    </row>
    <row r="72" spans="1:42">
      <c r="A72" s="354" t="s">
        <v>25</v>
      </c>
      <c r="B72" s="354" t="s">
        <v>6881</v>
      </c>
      <c r="C72" s="373">
        <v>468072</v>
      </c>
      <c r="D72" s="373">
        <v>39399994</v>
      </c>
      <c r="E72" s="373">
        <v>9124209</v>
      </c>
      <c r="F72" s="373">
        <v>32640999</v>
      </c>
      <c r="G72" s="2" t="s">
        <v>5294</v>
      </c>
      <c r="H72" s="1">
        <v>1215000</v>
      </c>
      <c r="L72" s="189" t="s">
        <v>6879</v>
      </c>
      <c r="M72" s="189" t="s">
        <v>6880</v>
      </c>
      <c r="N72" s="360">
        <v>1461000</v>
      </c>
      <c r="O72" s="208" t="s">
        <v>901</v>
      </c>
      <c r="P72" s="208">
        <v>-4017</v>
      </c>
      <c r="Q72" s="390">
        <v>273.79649999999998</v>
      </c>
      <c r="R72" s="390">
        <f t="shared" si="11"/>
        <v>-1099840.5404999999</v>
      </c>
      <c r="S72" s="208" t="s">
        <v>4316</v>
      </c>
      <c r="AB72" s="356"/>
      <c r="AC72" s="356"/>
      <c r="AD72" t="s">
        <v>25</v>
      </c>
      <c r="AJ72" s="20">
        <v>52</v>
      </c>
      <c r="AK72" s="37" t="s">
        <v>4062</v>
      </c>
      <c r="AL72" s="37">
        <v>150000</v>
      </c>
      <c r="AM72" s="20">
        <v>1</v>
      </c>
      <c r="AN72" s="11">
        <f t="shared" si="20"/>
        <v>1283</v>
      </c>
      <c r="AO72" s="37">
        <f t="shared" si="19"/>
        <v>192450000</v>
      </c>
      <c r="AP72" s="20"/>
    </row>
    <row r="73" spans="1:42">
      <c r="A73" s="354" t="s">
        <v>25</v>
      </c>
      <c r="B73" s="354" t="s">
        <v>6877</v>
      </c>
      <c r="C73" s="373">
        <v>469316</v>
      </c>
      <c r="D73" s="373">
        <v>38277551</v>
      </c>
      <c r="E73" s="373">
        <v>9048005</v>
      </c>
      <c r="F73" s="373">
        <v>32809329</v>
      </c>
      <c r="G73" s="2" t="s">
        <v>5295</v>
      </c>
      <c r="H73" s="1">
        <v>15350000</v>
      </c>
      <c r="L73" s="189" t="s">
        <v>6930</v>
      </c>
      <c r="M73" s="189" t="s">
        <v>6928</v>
      </c>
      <c r="N73" s="360">
        <v>729120</v>
      </c>
      <c r="O73" s="357" t="s">
        <v>901</v>
      </c>
      <c r="P73" s="357">
        <v>4017</v>
      </c>
      <c r="Q73" s="1">
        <v>273.79649999999998</v>
      </c>
      <c r="R73" s="1">
        <f t="shared" si="11"/>
        <v>1099840.5404999999</v>
      </c>
      <c r="S73" s="357" t="s">
        <v>422</v>
      </c>
      <c r="AB73" s="356"/>
      <c r="AC73" s="356"/>
      <c r="AJ73" s="124">
        <v>53</v>
      </c>
      <c r="AK73" s="125" t="s">
        <v>4068</v>
      </c>
      <c r="AL73" s="125">
        <v>29000000</v>
      </c>
      <c r="AM73" s="124">
        <v>15</v>
      </c>
      <c r="AN73" s="124">
        <f t="shared" si="20"/>
        <v>1282</v>
      </c>
      <c r="AO73" s="125">
        <f t="shared" si="19"/>
        <v>37178000000</v>
      </c>
      <c r="AP73" s="124" t="s">
        <v>4078</v>
      </c>
    </row>
    <row r="74" spans="1:42">
      <c r="A74" s="354" t="s">
        <v>25</v>
      </c>
      <c r="B74" s="354" t="s">
        <v>6787</v>
      </c>
      <c r="C74" s="373">
        <v>442128</v>
      </c>
      <c r="D74" s="373">
        <v>36980981</v>
      </c>
      <c r="E74" s="373">
        <v>8921869</v>
      </c>
      <c r="F74" s="373">
        <v>33104439</v>
      </c>
      <c r="G74" s="2" t="s">
        <v>5296</v>
      </c>
      <c r="H74" s="1">
        <v>70000</v>
      </c>
      <c r="L74" s="370" t="s">
        <v>6935</v>
      </c>
      <c r="M74" s="370" t="s">
        <v>6933</v>
      </c>
      <c r="N74" s="37">
        <v>-4995252</v>
      </c>
      <c r="O74" s="357" t="s">
        <v>4642</v>
      </c>
      <c r="P74" s="357">
        <v>3137</v>
      </c>
      <c r="Q74" s="1">
        <v>283.69110000000001</v>
      </c>
      <c r="R74" s="1">
        <f t="shared" si="11"/>
        <v>889938.98070000007</v>
      </c>
      <c r="S74" s="357" t="s">
        <v>422</v>
      </c>
      <c r="AB74" s="356"/>
      <c r="AC74" s="356"/>
      <c r="AE74" t="s">
        <v>25</v>
      </c>
      <c r="AJ74" s="20">
        <v>54</v>
      </c>
      <c r="AK74" s="37" t="s">
        <v>4101</v>
      </c>
      <c r="AL74" s="37">
        <v>-130000</v>
      </c>
      <c r="AM74" s="20">
        <v>7</v>
      </c>
      <c r="AN74" s="11">
        <f t="shared" si="20"/>
        <v>1267</v>
      </c>
      <c r="AO74" s="37">
        <f t="shared" si="19"/>
        <v>-164710000</v>
      </c>
      <c r="AP74" s="20" t="s">
        <v>4103</v>
      </c>
    </row>
    <row r="75" spans="1:42">
      <c r="A75" s="354"/>
      <c r="B75" s="354" t="s">
        <v>6872</v>
      </c>
      <c r="C75" s="373">
        <v>409513</v>
      </c>
      <c r="D75" s="373">
        <v>36818570</v>
      </c>
      <c r="E75" s="373">
        <v>8789365</v>
      </c>
      <c r="F75" s="373">
        <v>33387888</v>
      </c>
      <c r="G75" s="2" t="s">
        <v>5300</v>
      </c>
      <c r="H75" s="1">
        <v>800000</v>
      </c>
      <c r="L75" s="189" t="s">
        <v>4615</v>
      </c>
      <c r="M75" s="189" t="s">
        <v>7019</v>
      </c>
      <c r="N75" s="360">
        <v>-232619</v>
      </c>
      <c r="O75" s="357" t="s">
        <v>4655</v>
      </c>
      <c r="P75" s="357">
        <v>101933</v>
      </c>
      <c r="Q75" s="1">
        <v>294.30973999999998</v>
      </c>
      <c r="R75" s="1">
        <f t="shared" si="11"/>
        <v>29999874.727419998</v>
      </c>
      <c r="S75" s="357" t="s">
        <v>1005</v>
      </c>
      <c r="AA75" t="s">
        <v>25</v>
      </c>
      <c r="AB75" s="356"/>
      <c r="AC75" s="356"/>
      <c r="AJ75" s="20">
        <v>55</v>
      </c>
      <c r="AK75" s="37" t="s">
        <v>4149</v>
      </c>
      <c r="AL75" s="37">
        <v>232000</v>
      </c>
      <c r="AM75" s="20">
        <v>2</v>
      </c>
      <c r="AN75" s="11">
        <f t="shared" si="20"/>
        <v>1260</v>
      </c>
      <c r="AO75" s="37">
        <f t="shared" si="19"/>
        <v>292320000</v>
      </c>
      <c r="AP75" s="20" t="s">
        <v>4151</v>
      </c>
    </row>
    <row r="76" spans="1:42">
      <c r="A76" s="354"/>
      <c r="B76" s="354" t="s">
        <v>6871</v>
      </c>
      <c r="C76" s="373">
        <v>387883</v>
      </c>
      <c r="D76" s="373">
        <v>37338251</v>
      </c>
      <c r="E76" s="373">
        <v>8831107</v>
      </c>
      <c r="F76" s="373">
        <v>33293273</v>
      </c>
      <c r="G76" s="2" t="s">
        <v>5305</v>
      </c>
      <c r="H76" s="1">
        <v>1948000</v>
      </c>
      <c r="K76" t="s">
        <v>25</v>
      </c>
      <c r="L76" s="370"/>
      <c r="M76" s="370"/>
      <c r="N76" s="37"/>
      <c r="O76" s="357" t="s">
        <v>4661</v>
      </c>
      <c r="P76" s="357">
        <v>3407</v>
      </c>
      <c r="Q76" s="1">
        <v>293.43799999999999</v>
      </c>
      <c r="R76" s="1">
        <f t="shared" si="11"/>
        <v>999743.26599999995</v>
      </c>
      <c r="S76" s="357" t="s">
        <v>422</v>
      </c>
      <c r="AA76" t="s">
        <v>25</v>
      </c>
      <c r="AB76" s="356"/>
      <c r="AC76" s="356"/>
      <c r="AD76" t="s">
        <v>25</v>
      </c>
      <c r="AJ76" s="20">
        <v>56</v>
      </c>
      <c r="AK76" s="37" t="s">
        <v>4159</v>
      </c>
      <c r="AL76" s="37">
        <v>-170000</v>
      </c>
      <c r="AM76" s="20">
        <v>3</v>
      </c>
      <c r="AN76" s="11">
        <f t="shared" si="20"/>
        <v>1258</v>
      </c>
      <c r="AO76" s="37">
        <f t="shared" si="19"/>
        <v>-213860000</v>
      </c>
      <c r="AP76" s="20"/>
    </row>
    <row r="77" spans="1:42">
      <c r="A77" s="354"/>
      <c r="B77" s="354" t="s">
        <v>6866</v>
      </c>
      <c r="C77" s="373">
        <v>385805</v>
      </c>
      <c r="D77" s="373">
        <v>37781250</v>
      </c>
      <c r="E77" s="373">
        <v>8976216</v>
      </c>
      <c r="F77" s="373">
        <v>32942272</v>
      </c>
      <c r="G77" s="2" t="s">
        <v>5321</v>
      </c>
      <c r="H77" s="1">
        <v>5745697.3157000002</v>
      </c>
      <c r="L77" s="357" t="s">
        <v>25</v>
      </c>
      <c r="M77" s="357"/>
      <c r="N77" s="3"/>
      <c r="O77" s="357" t="s">
        <v>4662</v>
      </c>
      <c r="P77" s="357">
        <v>68796</v>
      </c>
      <c r="Q77" s="1">
        <v>293.53250000000003</v>
      </c>
      <c r="R77" s="1">
        <f t="shared" si="11"/>
        <v>20193861.870000001</v>
      </c>
      <c r="S77" s="357" t="s">
        <v>690</v>
      </c>
      <c r="AB77" s="356"/>
      <c r="AC77" s="356"/>
      <c r="AJ77" s="20">
        <v>57</v>
      </c>
      <c r="AK77" s="37" t="s">
        <v>4173</v>
      </c>
      <c r="AL77" s="37">
        <v>-300000</v>
      </c>
      <c r="AM77" s="20">
        <v>3</v>
      </c>
      <c r="AN77" s="11">
        <f t="shared" si="20"/>
        <v>1255</v>
      </c>
      <c r="AO77" s="37">
        <f t="shared" si="19"/>
        <v>-376500000</v>
      </c>
      <c r="AP77" s="20"/>
    </row>
    <row r="78" spans="1:42">
      <c r="A78" s="354"/>
      <c r="B78" s="354" t="s">
        <v>6865</v>
      </c>
      <c r="C78" s="373">
        <v>355297</v>
      </c>
      <c r="D78" s="373">
        <v>37329500</v>
      </c>
      <c r="E78" s="373">
        <v>9126892</v>
      </c>
      <c r="F78" s="373">
        <v>32564032</v>
      </c>
      <c r="G78" s="2" t="s">
        <v>5322</v>
      </c>
      <c r="H78" s="1">
        <v>908158.17935999995</v>
      </c>
      <c r="L78" s="357"/>
      <c r="M78" s="357"/>
      <c r="N78" s="3">
        <f>SUM(N20:N77)</f>
        <v>-8591667.551955983</v>
      </c>
      <c r="O78" s="357" t="s">
        <v>4662</v>
      </c>
      <c r="P78" s="357">
        <v>154791</v>
      </c>
      <c r="Q78" s="1">
        <v>293.53250000000003</v>
      </c>
      <c r="R78" s="1">
        <f t="shared" si="11"/>
        <v>45436189.207500003</v>
      </c>
      <c r="S78" s="357" t="s">
        <v>422</v>
      </c>
      <c r="AB78" s="356"/>
      <c r="AC78" s="356"/>
      <c r="AD78" t="s">
        <v>25</v>
      </c>
      <c r="AE78" t="s">
        <v>25</v>
      </c>
      <c r="AJ78" s="20">
        <v>58</v>
      </c>
      <c r="AK78" s="37" t="s">
        <v>4182</v>
      </c>
      <c r="AL78" s="37">
        <v>-11400000</v>
      </c>
      <c r="AM78" s="20">
        <v>13</v>
      </c>
      <c r="AN78" s="11">
        <f t="shared" ref="AN78:AN83" si="21">AN79+AM78</f>
        <v>1252</v>
      </c>
      <c r="AO78" s="37">
        <f t="shared" si="19"/>
        <v>-14272800000</v>
      </c>
      <c r="AP78" s="20"/>
    </row>
    <row r="79" spans="1:42">
      <c r="A79" s="354"/>
      <c r="B79" s="354" t="s">
        <v>6862</v>
      </c>
      <c r="C79" s="373">
        <v>351644</v>
      </c>
      <c r="D79" s="373">
        <v>36977897</v>
      </c>
      <c r="E79" s="373">
        <v>8974485</v>
      </c>
      <c r="F79" s="373">
        <v>32984525</v>
      </c>
      <c r="G79" s="2" t="s">
        <v>5323</v>
      </c>
      <c r="H79" s="1">
        <v>12642697.648548001</v>
      </c>
      <c r="L79" s="357"/>
      <c r="M79" s="357"/>
      <c r="N79" s="2" t="s">
        <v>6</v>
      </c>
      <c r="O79" s="357" t="s">
        <v>4662</v>
      </c>
      <c r="P79" s="357">
        <v>-11923</v>
      </c>
      <c r="Q79" s="1">
        <v>293.53250000000003</v>
      </c>
      <c r="R79" s="1">
        <f t="shared" si="11"/>
        <v>-3499787.9975000005</v>
      </c>
      <c r="S79" s="357" t="s">
        <v>422</v>
      </c>
      <c r="AB79" s="356"/>
      <c r="AC79" s="356"/>
      <c r="AE79" t="s">
        <v>25</v>
      </c>
      <c r="AJ79" s="20">
        <v>59</v>
      </c>
      <c r="AK79" s="37" t="s">
        <v>4228</v>
      </c>
      <c r="AL79" s="37">
        <v>-10000000</v>
      </c>
      <c r="AM79" s="20">
        <v>1</v>
      </c>
      <c r="AN79" s="11">
        <f t="shared" si="21"/>
        <v>1239</v>
      </c>
      <c r="AO79" s="37">
        <f t="shared" si="19"/>
        <v>-12390000000</v>
      </c>
      <c r="AP79" s="20"/>
    </row>
    <row r="80" spans="1:42">
      <c r="A80" s="354" t="s">
        <v>25</v>
      </c>
      <c r="B80" s="354" t="s">
        <v>6853</v>
      </c>
      <c r="C80" s="373">
        <v>372558</v>
      </c>
      <c r="D80" s="373">
        <v>37554731</v>
      </c>
      <c r="E80" s="373">
        <v>9266678</v>
      </c>
      <c r="F80" s="373">
        <v>32026938</v>
      </c>
      <c r="G80" s="2" t="s">
        <v>5324</v>
      </c>
      <c r="H80" s="1">
        <v>12297318</v>
      </c>
      <c r="L80" s="35"/>
      <c r="M80" s="35"/>
      <c r="O80" s="357" t="s">
        <v>4674</v>
      </c>
      <c r="P80" s="357">
        <v>8424</v>
      </c>
      <c r="Q80" s="1">
        <v>299.15170000000001</v>
      </c>
      <c r="R80" s="1">
        <f t="shared" si="11"/>
        <v>2520053.9208</v>
      </c>
      <c r="S80" s="357" t="s">
        <v>422</v>
      </c>
      <c r="AB80" s="356"/>
      <c r="AC80" s="356"/>
      <c r="AJ80" s="20">
        <v>60</v>
      </c>
      <c r="AK80" s="37" t="s">
        <v>4229</v>
      </c>
      <c r="AL80" s="37">
        <v>-2450000</v>
      </c>
      <c r="AM80" s="20">
        <v>5</v>
      </c>
      <c r="AN80" s="11">
        <f t="shared" si="21"/>
        <v>1238</v>
      </c>
      <c r="AO80" s="37">
        <f t="shared" si="19"/>
        <v>-3033100000</v>
      </c>
      <c r="AP80" s="20"/>
    </row>
    <row r="81" spans="1:54">
      <c r="A81" s="354"/>
      <c r="B81" s="354" t="s">
        <v>6852</v>
      </c>
      <c r="C81" s="373">
        <v>354811</v>
      </c>
      <c r="D81" s="373">
        <v>38043191</v>
      </c>
      <c r="E81" s="373">
        <v>9312125</v>
      </c>
      <c r="F81" s="373">
        <v>31783799</v>
      </c>
      <c r="G81" s="2" t="s">
        <v>5325</v>
      </c>
      <c r="H81" s="1">
        <v>8959644</v>
      </c>
      <c r="L81" s="35" t="s">
        <v>25</v>
      </c>
      <c r="M81" s="35" t="s">
        <v>25</v>
      </c>
      <c r="O81" s="357" t="s">
        <v>4709</v>
      </c>
      <c r="P81" s="357">
        <v>15943</v>
      </c>
      <c r="Q81" s="1">
        <v>307.34415000000001</v>
      </c>
      <c r="R81" s="1">
        <f t="shared" si="11"/>
        <v>4899987.78345</v>
      </c>
      <c r="S81" s="357" t="s">
        <v>422</v>
      </c>
      <c r="AB81" s="356"/>
      <c r="AC81" s="356"/>
      <c r="AD81" t="s">
        <v>25</v>
      </c>
      <c r="AJ81" s="20">
        <v>61</v>
      </c>
      <c r="AK81" s="37" t="s">
        <v>4250</v>
      </c>
      <c r="AL81" s="37">
        <v>-456081</v>
      </c>
      <c r="AM81" s="20">
        <v>1</v>
      </c>
      <c r="AN81" s="11">
        <f t="shared" si="21"/>
        <v>1233</v>
      </c>
      <c r="AO81" s="37">
        <f t="shared" si="19"/>
        <v>-562347873</v>
      </c>
      <c r="AP81" s="20"/>
    </row>
    <row r="82" spans="1:54">
      <c r="A82" s="354"/>
      <c r="B82" s="354" t="s">
        <v>6851</v>
      </c>
      <c r="C82" s="373">
        <v>334855</v>
      </c>
      <c r="D82" s="373">
        <v>37632793</v>
      </c>
      <c r="E82" s="373">
        <v>9354560</v>
      </c>
      <c r="F82" s="373">
        <v>31553649</v>
      </c>
      <c r="G82" s="2" t="s">
        <v>5326</v>
      </c>
      <c r="H82" s="355">
        <v>15154095.839328</v>
      </c>
      <c r="L82" s="35" t="s">
        <v>25</v>
      </c>
      <c r="M82" s="357" t="s">
        <v>690</v>
      </c>
      <c r="N82" s="357"/>
      <c r="O82" s="357" t="s">
        <v>4721</v>
      </c>
      <c r="P82" s="357">
        <v>3741</v>
      </c>
      <c r="Q82" s="1">
        <v>307.34415000000001</v>
      </c>
      <c r="R82" s="1">
        <f t="shared" si="11"/>
        <v>1149774.4651500001</v>
      </c>
      <c r="S82" s="357" t="s">
        <v>422</v>
      </c>
      <c r="AB82" s="356"/>
      <c r="AC82" s="356"/>
      <c r="AJ82" s="20">
        <v>62</v>
      </c>
      <c r="AK82" s="37" t="s">
        <v>4252</v>
      </c>
      <c r="AL82" s="37">
        <v>-500000</v>
      </c>
      <c r="AM82" s="20">
        <v>2</v>
      </c>
      <c r="AN82" s="11">
        <f t="shared" si="21"/>
        <v>1232</v>
      </c>
      <c r="AO82" s="37">
        <f t="shared" si="19"/>
        <v>-616000000</v>
      </c>
      <c r="AP82" s="20"/>
      <c r="AQ82" t="s">
        <v>25</v>
      </c>
      <c r="AY82" t="s">
        <v>25</v>
      </c>
    </row>
    <row r="83" spans="1:54">
      <c r="A83" s="354"/>
      <c r="B83" s="354" t="s">
        <v>6850</v>
      </c>
      <c r="C83" s="373">
        <v>348088</v>
      </c>
      <c r="D83" s="373">
        <v>38494462</v>
      </c>
      <c r="E83" s="373">
        <v>9370072</v>
      </c>
      <c r="F83" s="373">
        <v>31341277</v>
      </c>
      <c r="G83" s="2" t="s">
        <v>5331</v>
      </c>
      <c r="H83" s="3">
        <v>4108143</v>
      </c>
      <c r="J83" s="379"/>
      <c r="L83" s="35"/>
      <c r="M83" s="357" t="s">
        <v>4310</v>
      </c>
      <c r="N83" s="1">
        <v>172908000</v>
      </c>
      <c r="O83" s="357" t="s">
        <v>4726</v>
      </c>
      <c r="P83" s="357">
        <v>-6207</v>
      </c>
      <c r="Q83" s="1">
        <v>322.214</v>
      </c>
      <c r="R83" s="1">
        <f t="shared" si="11"/>
        <v>-1999982.298</v>
      </c>
      <c r="S83" s="357" t="s">
        <v>690</v>
      </c>
      <c r="AB83" s="356"/>
      <c r="AC83" s="356"/>
      <c r="AE83" s="76"/>
      <c r="AJ83" s="20">
        <v>63</v>
      </c>
      <c r="AK83" s="37" t="s">
        <v>4268</v>
      </c>
      <c r="AL83" s="37">
        <v>-6234370</v>
      </c>
      <c r="AM83" s="20">
        <v>3</v>
      </c>
      <c r="AN83" s="11">
        <f t="shared" si="21"/>
        <v>1230</v>
      </c>
      <c r="AO83" s="37">
        <f t="shared" si="19"/>
        <v>-7668275100</v>
      </c>
      <c r="AP83" s="20"/>
    </row>
    <row r="84" spans="1:54">
      <c r="A84" s="354"/>
      <c r="B84" s="354" t="s">
        <v>6849</v>
      </c>
      <c r="C84" s="373">
        <v>358198</v>
      </c>
      <c r="D84" s="373">
        <v>38952936</v>
      </c>
      <c r="E84" s="373">
        <v>9314354</v>
      </c>
      <c r="F84" s="373">
        <v>31625896</v>
      </c>
      <c r="G84" s="2" t="s">
        <v>5333</v>
      </c>
      <c r="H84" s="3">
        <v>6000000</v>
      </c>
      <c r="J84" s="379"/>
      <c r="M84" s="357" t="s">
        <v>4337</v>
      </c>
      <c r="N84" s="1">
        <v>1400000</v>
      </c>
      <c r="O84" s="357" t="s">
        <v>4726</v>
      </c>
      <c r="P84" s="357">
        <v>6207</v>
      </c>
      <c r="Q84" s="1">
        <v>322.214</v>
      </c>
      <c r="R84" s="1">
        <f t="shared" si="11"/>
        <v>1999982.298</v>
      </c>
      <c r="S84" s="357" t="s">
        <v>4316</v>
      </c>
      <c r="AB84" s="356"/>
      <c r="AC84" s="356"/>
      <c r="AE84" s="76"/>
      <c r="AJ84" s="20">
        <v>64</v>
      </c>
      <c r="AK84" s="37" t="s">
        <v>4277</v>
      </c>
      <c r="AL84" s="37">
        <v>1950957</v>
      </c>
      <c r="AM84" s="20">
        <v>4</v>
      </c>
      <c r="AN84" s="11">
        <f t="shared" si="20"/>
        <v>1227</v>
      </c>
      <c r="AO84" s="37">
        <f t="shared" si="19"/>
        <v>2393824239</v>
      </c>
      <c r="AP84" s="20"/>
      <c r="BB84" t="s">
        <v>25</v>
      </c>
    </row>
    <row r="85" spans="1:54">
      <c r="A85" s="354"/>
      <c r="B85" s="354" t="s">
        <v>6847</v>
      </c>
      <c r="C85" s="373">
        <v>378185</v>
      </c>
      <c r="D85" s="373">
        <v>33616489</v>
      </c>
      <c r="E85" s="373">
        <v>9218926</v>
      </c>
      <c r="F85" s="373">
        <v>31938891</v>
      </c>
      <c r="G85" s="2" t="s">
        <v>5337</v>
      </c>
      <c r="H85" s="3">
        <v>8301786</v>
      </c>
      <c r="M85" s="357" t="s">
        <v>4123</v>
      </c>
      <c r="N85" s="1">
        <v>247393</v>
      </c>
      <c r="O85" s="357" t="s">
        <v>4681</v>
      </c>
      <c r="P85" s="357">
        <v>776</v>
      </c>
      <c r="Q85" s="1">
        <v>322.214</v>
      </c>
      <c r="R85" s="1">
        <f t="shared" si="11"/>
        <v>250038.06400000001</v>
      </c>
      <c r="S85" s="357" t="s">
        <v>422</v>
      </c>
      <c r="AB85" s="356"/>
      <c r="AC85" s="356"/>
      <c r="AE85" s="76"/>
      <c r="AJ85" s="20">
        <v>65</v>
      </c>
      <c r="AK85" s="37" t="s">
        <v>4299</v>
      </c>
      <c r="AL85" s="37">
        <v>600000</v>
      </c>
      <c r="AM85" s="20">
        <v>5</v>
      </c>
      <c r="AN85" s="11">
        <f t="shared" si="20"/>
        <v>1223</v>
      </c>
      <c r="AO85" s="37">
        <f t="shared" si="19"/>
        <v>733800000</v>
      </c>
      <c r="AP85" s="20"/>
    </row>
    <row r="86" spans="1:54">
      <c r="A86" s="354"/>
      <c r="B86" s="354" t="s">
        <v>6846</v>
      </c>
      <c r="C86" s="354">
        <v>379455</v>
      </c>
      <c r="D86" s="357">
        <v>33866189</v>
      </c>
      <c r="E86" s="373">
        <v>9138736</v>
      </c>
      <c r="F86" s="373">
        <v>32107752</v>
      </c>
      <c r="G86" s="2" t="s">
        <v>5341</v>
      </c>
      <c r="H86" s="3">
        <v>50725508.571864001</v>
      </c>
      <c r="M86" s="357" t="s">
        <v>4122</v>
      </c>
      <c r="N86" s="1">
        <v>6780000</v>
      </c>
      <c r="O86" s="357" t="s">
        <v>4745</v>
      </c>
      <c r="P86" s="357">
        <v>1524</v>
      </c>
      <c r="Q86" s="1">
        <v>314.95999999999998</v>
      </c>
      <c r="R86" s="1">
        <f t="shared" si="11"/>
        <v>479999.04</v>
      </c>
      <c r="S86" s="357" t="s">
        <v>1005</v>
      </c>
      <c r="AB86" s="356"/>
      <c r="AC86" s="356"/>
      <c r="AE86" s="76"/>
      <c r="AJ86" s="20">
        <v>66</v>
      </c>
      <c r="AK86" s="37" t="s">
        <v>4307</v>
      </c>
      <c r="AL86" s="37">
        <v>7500000</v>
      </c>
      <c r="AM86" s="20">
        <v>2</v>
      </c>
      <c r="AN86" s="11">
        <f t="shared" si="20"/>
        <v>1218</v>
      </c>
      <c r="AO86" s="37">
        <f t="shared" si="19"/>
        <v>9135000000</v>
      </c>
      <c r="AP86" s="20"/>
    </row>
    <row r="87" spans="1:54">
      <c r="A87" s="354"/>
      <c r="B87" s="173" t="s">
        <v>6845</v>
      </c>
      <c r="C87" s="386">
        <v>371740</v>
      </c>
      <c r="D87" s="386">
        <v>33312756</v>
      </c>
      <c r="E87" s="386">
        <v>8899110</v>
      </c>
      <c r="F87" s="386">
        <v>30745420</v>
      </c>
      <c r="G87" s="2" t="s">
        <v>5342</v>
      </c>
      <c r="H87" s="3">
        <v>2281961.458596</v>
      </c>
      <c r="M87" s="357" t="s">
        <v>4422</v>
      </c>
      <c r="N87" s="1">
        <v>-4000000</v>
      </c>
      <c r="O87" s="357" t="s">
        <v>4752</v>
      </c>
      <c r="P87" s="357">
        <v>4435</v>
      </c>
      <c r="Q87" s="1">
        <v>316.4375</v>
      </c>
      <c r="R87" s="1">
        <f t="shared" si="11"/>
        <v>1403400.3125</v>
      </c>
      <c r="S87" s="357" t="s">
        <v>422</v>
      </c>
      <c r="AB87" s="356"/>
      <c r="AC87" s="356"/>
      <c r="AD87" t="s">
        <v>25</v>
      </c>
      <c r="AE87" s="76"/>
      <c r="AJ87" s="20">
        <v>67</v>
      </c>
      <c r="AK87" s="37" t="s">
        <v>4311</v>
      </c>
      <c r="AL87" s="37">
        <v>-587816</v>
      </c>
      <c r="AM87" s="20">
        <v>3</v>
      </c>
      <c r="AN87" s="11">
        <f t="shared" si="20"/>
        <v>1216</v>
      </c>
      <c r="AO87" s="37">
        <f t="shared" si="19"/>
        <v>-714784256</v>
      </c>
      <c r="AP87" s="20"/>
    </row>
    <row r="88" spans="1:54">
      <c r="A88" s="354"/>
      <c r="B88" s="354" t="s">
        <v>6844</v>
      </c>
      <c r="C88" s="373">
        <v>364203</v>
      </c>
      <c r="D88" s="373">
        <v>32308367</v>
      </c>
      <c r="E88" s="373">
        <v>8972536</v>
      </c>
      <c r="F88" s="373">
        <v>30523715</v>
      </c>
      <c r="G88" s="2" t="s">
        <v>5349</v>
      </c>
      <c r="H88" s="3">
        <v>10998285</v>
      </c>
      <c r="M88" s="357" t="s">
        <v>4446</v>
      </c>
      <c r="N88" s="1">
        <v>16727037</v>
      </c>
      <c r="O88" s="357" t="s">
        <v>4755</v>
      </c>
      <c r="P88" s="357">
        <v>624</v>
      </c>
      <c r="Q88" s="1">
        <v>320.5</v>
      </c>
      <c r="R88" s="1">
        <f t="shared" si="11"/>
        <v>199992</v>
      </c>
      <c r="S88" s="357" t="s">
        <v>422</v>
      </c>
      <c r="AB88" s="356"/>
      <c r="AC88" s="356"/>
      <c r="AE88" s="76"/>
      <c r="AJ88" s="20">
        <v>68</v>
      </c>
      <c r="AK88" s="37" t="s">
        <v>4310</v>
      </c>
      <c r="AL88" s="37">
        <v>-907489</v>
      </c>
      <c r="AM88" s="20">
        <v>0</v>
      </c>
      <c r="AN88" s="11">
        <f>AN89+AM88</f>
        <v>1213</v>
      </c>
      <c r="AO88" s="37">
        <f t="shared" si="19"/>
        <v>-1100784157</v>
      </c>
      <c r="AP88" s="20"/>
      <c r="AR88" t="s">
        <v>25</v>
      </c>
      <c r="AX88" t="s">
        <v>25</v>
      </c>
    </row>
    <row r="89" spans="1:54">
      <c r="A89" s="354"/>
      <c r="B89" s="354" t="s">
        <v>6843</v>
      </c>
      <c r="C89" s="373">
        <v>364081</v>
      </c>
      <c r="D89" s="373">
        <v>32039128</v>
      </c>
      <c r="E89" s="373">
        <v>8899758</v>
      </c>
      <c r="F89" s="373">
        <v>30925799</v>
      </c>
      <c r="G89" s="2" t="s">
        <v>5350</v>
      </c>
      <c r="H89" s="3">
        <v>983018.96187300002</v>
      </c>
      <c r="M89" s="357" t="s">
        <v>4451</v>
      </c>
      <c r="N89" s="1">
        <v>46460683</v>
      </c>
      <c r="O89" s="357" t="s">
        <v>4760</v>
      </c>
      <c r="P89" s="357">
        <v>1086</v>
      </c>
      <c r="Q89" s="1">
        <v>317.55</v>
      </c>
      <c r="R89" s="1">
        <f t="shared" si="11"/>
        <v>344859.3</v>
      </c>
      <c r="S89" s="357" t="s">
        <v>422</v>
      </c>
      <c r="AB89" s="356"/>
      <c r="AC89" s="356"/>
      <c r="AE89" t="s">
        <v>25</v>
      </c>
      <c r="AJ89" s="20">
        <v>69</v>
      </c>
      <c r="AK89" s="37" t="s">
        <v>4310</v>
      </c>
      <c r="AL89" s="37">
        <v>2450000</v>
      </c>
      <c r="AM89" s="20">
        <v>1</v>
      </c>
      <c r="AN89" s="11">
        <f t="shared" si="20"/>
        <v>1213</v>
      </c>
      <c r="AO89" s="37">
        <f t="shared" si="19"/>
        <v>2971850000</v>
      </c>
      <c r="AP89" s="20" t="s">
        <v>4335</v>
      </c>
      <c r="AS89" t="s">
        <v>25</v>
      </c>
      <c r="AT89" t="s">
        <v>25</v>
      </c>
    </row>
    <row r="90" spans="1:54">
      <c r="A90" s="354"/>
      <c r="B90" s="354" t="s">
        <v>6842</v>
      </c>
      <c r="C90" s="373">
        <v>391841</v>
      </c>
      <c r="D90" s="373">
        <v>32743923</v>
      </c>
      <c r="E90" s="373">
        <v>8938206</v>
      </c>
      <c r="F90" s="373">
        <v>30678444</v>
      </c>
      <c r="G90" s="2" t="s">
        <v>5352</v>
      </c>
      <c r="H90" s="3">
        <v>17049271.032000002</v>
      </c>
      <c r="M90" s="357" t="s">
        <v>4452</v>
      </c>
      <c r="N90" s="1">
        <v>19663646</v>
      </c>
      <c r="O90" s="357" t="s">
        <v>4765</v>
      </c>
      <c r="P90" s="357">
        <v>2820</v>
      </c>
      <c r="Q90" s="1">
        <v>319.1096</v>
      </c>
      <c r="R90" s="1">
        <f t="shared" si="11"/>
        <v>899889.07200000004</v>
      </c>
      <c r="S90" s="357" t="s">
        <v>422</v>
      </c>
      <c r="AB90" s="356"/>
      <c r="AC90" s="356"/>
      <c r="AJ90" s="20">
        <v>70</v>
      </c>
      <c r="AK90" s="37" t="s">
        <v>4337</v>
      </c>
      <c r="AL90" s="37">
        <v>1500000</v>
      </c>
      <c r="AM90" s="20">
        <v>1</v>
      </c>
      <c r="AN90" s="11">
        <f t="shared" si="20"/>
        <v>1212</v>
      </c>
      <c r="AO90" s="37">
        <f t="shared" si="19"/>
        <v>1818000000</v>
      </c>
      <c r="AP90" s="20"/>
      <c r="AR90" t="s">
        <v>25</v>
      </c>
      <c r="AW90" t="s">
        <v>25</v>
      </c>
    </row>
    <row r="91" spans="1:54">
      <c r="A91" s="354"/>
      <c r="B91" s="354" t="s">
        <v>6820</v>
      </c>
      <c r="C91" s="373">
        <v>39875</v>
      </c>
      <c r="D91" s="373">
        <v>34422304</v>
      </c>
      <c r="E91" s="373">
        <v>8910803</v>
      </c>
      <c r="F91" s="373">
        <v>30058048</v>
      </c>
      <c r="G91" s="2" t="s">
        <v>5355</v>
      </c>
      <c r="H91" s="3">
        <v>6829998</v>
      </c>
      <c r="M91" s="357" t="s">
        <v>4473</v>
      </c>
      <c r="N91" s="1">
        <v>4374525</v>
      </c>
      <c r="O91" s="357" t="s">
        <v>4768</v>
      </c>
      <c r="P91" s="357">
        <v>1145</v>
      </c>
      <c r="Q91" s="1">
        <v>325.44</v>
      </c>
      <c r="R91" s="1">
        <f t="shared" si="11"/>
        <v>372628.8</v>
      </c>
      <c r="S91" s="357" t="s">
        <v>422</v>
      </c>
      <c r="AB91" s="356"/>
      <c r="AC91" s="356"/>
      <c r="AJ91" s="20">
        <v>71</v>
      </c>
      <c r="AK91" s="37" t="s">
        <v>4343</v>
      </c>
      <c r="AL91" s="37">
        <v>2648000</v>
      </c>
      <c r="AM91" s="20">
        <v>1</v>
      </c>
      <c r="AN91" s="11">
        <f t="shared" si="20"/>
        <v>1211</v>
      </c>
      <c r="AO91" s="37">
        <f t="shared" si="19"/>
        <v>3206728000</v>
      </c>
      <c r="AP91" s="20" t="s">
        <v>4344</v>
      </c>
      <c r="AW91" t="s">
        <v>25</v>
      </c>
    </row>
    <row r="92" spans="1:54">
      <c r="A92" s="354"/>
      <c r="B92" s="2" t="s">
        <v>6835</v>
      </c>
      <c r="C92" s="373">
        <v>384553</v>
      </c>
      <c r="D92" s="373">
        <v>34531289</v>
      </c>
      <c r="E92" s="317">
        <v>9053147</v>
      </c>
      <c r="F92" s="317">
        <v>30377615</v>
      </c>
      <c r="G92" s="2" t="s">
        <v>4127</v>
      </c>
      <c r="H92" s="3">
        <v>6982608.8207999999</v>
      </c>
      <c r="M92" s="357" t="s">
        <v>4484</v>
      </c>
      <c r="N92" s="1">
        <v>6550580</v>
      </c>
      <c r="O92" s="357" t="s">
        <v>4776</v>
      </c>
      <c r="P92" s="357">
        <v>20153</v>
      </c>
      <c r="Q92" s="1">
        <v>322</v>
      </c>
      <c r="R92" s="1">
        <f t="shared" si="11"/>
        <v>6489266</v>
      </c>
      <c r="S92" s="357" t="s">
        <v>422</v>
      </c>
      <c r="AA92" t="s">
        <v>25</v>
      </c>
      <c r="AB92" s="356"/>
      <c r="AC92" s="356"/>
      <c r="AJ92" s="20">
        <v>72</v>
      </c>
      <c r="AK92" s="37" t="s">
        <v>4123</v>
      </c>
      <c r="AL92" s="37">
        <v>615000</v>
      </c>
      <c r="AM92" s="20">
        <v>4</v>
      </c>
      <c r="AN92" s="11">
        <f t="shared" si="20"/>
        <v>1210</v>
      </c>
      <c r="AO92" s="37">
        <f t="shared" si="19"/>
        <v>744150000</v>
      </c>
      <c r="AP92" s="20"/>
      <c r="AX92" t="s">
        <v>25</v>
      </c>
    </row>
    <row r="93" spans="1:54">
      <c r="A93" s="354"/>
      <c r="B93" s="2" t="s">
        <v>6832</v>
      </c>
      <c r="C93" s="373">
        <v>366536</v>
      </c>
      <c r="D93" s="373">
        <v>33252790</v>
      </c>
      <c r="E93" s="317">
        <v>8745989</v>
      </c>
      <c r="F93" s="317">
        <v>28294041</v>
      </c>
      <c r="G93" s="2" t="s">
        <v>5372</v>
      </c>
      <c r="H93" s="3">
        <v>7510131.0216000006</v>
      </c>
      <c r="M93" s="357" t="s">
        <v>4486</v>
      </c>
      <c r="N93" s="1">
        <v>6650895</v>
      </c>
      <c r="O93" s="357" t="s">
        <v>4786</v>
      </c>
      <c r="P93" s="357">
        <v>93720</v>
      </c>
      <c r="Q93" s="1">
        <v>325.435</v>
      </c>
      <c r="R93" s="1">
        <f t="shared" si="11"/>
        <v>30499768.199999999</v>
      </c>
      <c r="S93" s="357" t="s">
        <v>1005</v>
      </c>
      <c r="AB93" s="356"/>
      <c r="AC93" s="356"/>
      <c r="AJ93" s="20">
        <v>73</v>
      </c>
      <c r="AK93" s="37" t="s">
        <v>4354</v>
      </c>
      <c r="AL93" s="37">
        <v>14000000</v>
      </c>
      <c r="AM93" s="20">
        <v>2</v>
      </c>
      <c r="AN93" s="11">
        <f>AN94+AM93</f>
        <v>1206</v>
      </c>
      <c r="AO93" s="37">
        <f t="shared" si="19"/>
        <v>16884000000</v>
      </c>
      <c r="AP93" s="20"/>
    </row>
    <row r="94" spans="1:54">
      <c r="A94" s="354"/>
      <c r="B94" s="2" t="s">
        <v>6831</v>
      </c>
      <c r="C94" s="373">
        <v>396633</v>
      </c>
      <c r="D94" s="373">
        <v>32816664</v>
      </c>
      <c r="E94" s="317">
        <v>8802341</v>
      </c>
      <c r="F94" s="317">
        <v>28864919</v>
      </c>
      <c r="G94" s="2" t="s">
        <v>5377</v>
      </c>
      <c r="H94" s="3">
        <v>10397191</v>
      </c>
      <c r="M94" s="357" t="s">
        <v>4499</v>
      </c>
      <c r="N94" s="1">
        <v>2145814</v>
      </c>
      <c r="O94" s="357" t="s">
        <v>4786</v>
      </c>
      <c r="P94" s="357">
        <v>20895</v>
      </c>
      <c r="Q94" s="1">
        <v>325.435</v>
      </c>
      <c r="R94" s="1">
        <f t="shared" si="11"/>
        <v>6799964.3250000002</v>
      </c>
      <c r="S94" s="357" t="s">
        <v>690</v>
      </c>
      <c r="AB94" s="356"/>
      <c r="AC94" s="356"/>
      <c r="AJ94" s="20">
        <v>74</v>
      </c>
      <c r="AK94" s="37" t="s">
        <v>4358</v>
      </c>
      <c r="AL94" s="37">
        <v>1313000</v>
      </c>
      <c r="AM94" s="20">
        <v>0</v>
      </c>
      <c r="AN94" s="11">
        <f>AN95+AM94</f>
        <v>1204</v>
      </c>
      <c r="AO94" s="37">
        <f t="shared" si="19"/>
        <v>1580852000</v>
      </c>
      <c r="AP94" s="20"/>
      <c r="AS94" t="s">
        <v>25</v>
      </c>
    </row>
    <row r="95" spans="1:54">
      <c r="A95" s="354"/>
      <c r="B95" s="2" t="s">
        <v>6829</v>
      </c>
      <c r="C95" s="373">
        <v>386891</v>
      </c>
      <c r="D95" s="373">
        <v>32494148</v>
      </c>
      <c r="E95" s="317">
        <v>8599864</v>
      </c>
      <c r="F95" s="317">
        <v>28205148</v>
      </c>
      <c r="G95" s="2" t="s">
        <v>5385</v>
      </c>
      <c r="H95" s="3">
        <v>195059.35799999998</v>
      </c>
      <c r="M95" s="357" t="s">
        <v>4509</v>
      </c>
      <c r="N95" s="1">
        <v>4369730</v>
      </c>
      <c r="O95" s="357" t="s">
        <v>4793</v>
      </c>
      <c r="P95" s="357">
        <v>2611</v>
      </c>
      <c r="Q95" s="1">
        <v>325.435</v>
      </c>
      <c r="R95" s="1">
        <f t="shared" si="11"/>
        <v>849710.78500000003</v>
      </c>
      <c r="S95" s="357" t="s">
        <v>690</v>
      </c>
      <c r="AB95" s="356"/>
      <c r="AC95" s="356"/>
      <c r="AJ95" s="11">
        <v>75</v>
      </c>
      <c r="AK95" s="3" t="s">
        <v>4358</v>
      </c>
      <c r="AL95" s="3">
        <v>2269000</v>
      </c>
      <c r="AM95" s="11">
        <v>1</v>
      </c>
      <c r="AN95" s="11">
        <f t="shared" ref="AN95:AN120" si="22">AN96+AM95</f>
        <v>1204</v>
      </c>
      <c r="AO95" s="37">
        <f t="shared" si="19"/>
        <v>2731876000</v>
      </c>
      <c r="AP95" s="11"/>
    </row>
    <row r="96" spans="1:54">
      <c r="A96" s="354"/>
      <c r="B96" s="2" t="s">
        <v>6827</v>
      </c>
      <c r="C96" s="373">
        <v>392690</v>
      </c>
      <c r="D96" s="373">
        <v>32460265</v>
      </c>
      <c r="E96" s="317">
        <v>8518673</v>
      </c>
      <c r="F96" s="317">
        <v>27903452</v>
      </c>
      <c r="G96" s="2" t="s">
        <v>5389</v>
      </c>
      <c r="H96" s="3">
        <v>744082</v>
      </c>
      <c r="M96" s="357" t="s">
        <v>4511</v>
      </c>
      <c r="N96" s="1">
        <v>8739459</v>
      </c>
      <c r="O96" s="357" t="s">
        <v>4799</v>
      </c>
      <c r="P96" s="357">
        <v>6750</v>
      </c>
      <c r="Q96" s="1">
        <v>339.3</v>
      </c>
      <c r="R96" s="1">
        <f t="shared" si="11"/>
        <v>2290275</v>
      </c>
      <c r="S96" s="357" t="s">
        <v>690</v>
      </c>
      <c r="AB96" s="356"/>
      <c r="AC96" s="356"/>
      <c r="AJ96" s="11">
        <v>76</v>
      </c>
      <c r="AK96" s="3" t="s">
        <v>4124</v>
      </c>
      <c r="AL96" s="3">
        <v>750000</v>
      </c>
      <c r="AM96" s="11">
        <v>4</v>
      </c>
      <c r="AN96" s="11">
        <f t="shared" si="22"/>
        <v>1203</v>
      </c>
      <c r="AO96" s="37">
        <f t="shared" ref="AO96:AO120" si="23">AL96*AN96</f>
        <v>902250000</v>
      </c>
      <c r="AP96" s="11"/>
      <c r="AS96" t="s">
        <v>25</v>
      </c>
    </row>
    <row r="97" spans="1:44">
      <c r="A97" s="354"/>
      <c r="B97" s="2" t="s">
        <v>6823</v>
      </c>
      <c r="C97" s="373">
        <v>391976</v>
      </c>
      <c r="D97" s="373">
        <v>32532410</v>
      </c>
      <c r="E97" s="317">
        <v>8485222</v>
      </c>
      <c r="F97" s="317">
        <v>28545312</v>
      </c>
      <c r="G97" s="2" t="s">
        <v>5391</v>
      </c>
      <c r="H97" s="3">
        <v>920308.446</v>
      </c>
      <c r="M97" s="357" t="s">
        <v>4520</v>
      </c>
      <c r="N97" s="1">
        <v>6667654</v>
      </c>
      <c r="O97" s="357" t="s">
        <v>4805</v>
      </c>
      <c r="P97" s="357">
        <v>1850</v>
      </c>
      <c r="Q97" s="1">
        <v>334.10050000000001</v>
      </c>
      <c r="R97" s="1">
        <f t="shared" si="11"/>
        <v>618085.92500000005</v>
      </c>
      <c r="S97" s="357" t="s">
        <v>422</v>
      </c>
      <c r="AB97" s="356"/>
      <c r="AC97" s="356"/>
      <c r="AJ97" s="11">
        <v>77</v>
      </c>
      <c r="AK97" s="3" t="s">
        <v>4362</v>
      </c>
      <c r="AL97" s="3">
        <v>1900000</v>
      </c>
      <c r="AM97" s="11">
        <v>3</v>
      </c>
      <c r="AN97" s="11">
        <f t="shared" si="22"/>
        <v>1199</v>
      </c>
      <c r="AO97" s="37">
        <f t="shared" si="23"/>
        <v>2278100000</v>
      </c>
      <c r="AP97" s="11"/>
    </row>
    <row r="98" spans="1:44">
      <c r="A98" s="354"/>
      <c r="B98" s="2" t="s">
        <v>6821</v>
      </c>
      <c r="C98" s="373">
        <v>390291</v>
      </c>
      <c r="D98" s="373">
        <v>32656971</v>
      </c>
      <c r="E98" s="317">
        <v>8377966</v>
      </c>
      <c r="F98" s="317">
        <v>28172387</v>
      </c>
      <c r="G98" s="2" t="s">
        <v>5392</v>
      </c>
      <c r="H98" s="3">
        <v>4635809.8416840006</v>
      </c>
      <c r="M98" s="357" t="s">
        <v>4527</v>
      </c>
      <c r="N98" s="1">
        <v>8981245</v>
      </c>
      <c r="O98" s="357" t="s">
        <v>4805</v>
      </c>
      <c r="P98" s="357">
        <v>-1194</v>
      </c>
      <c r="Q98" s="1">
        <v>335</v>
      </c>
      <c r="R98" s="1">
        <f t="shared" si="11"/>
        <v>-399990</v>
      </c>
      <c r="S98" s="357" t="s">
        <v>4316</v>
      </c>
      <c r="AA98" t="s">
        <v>25</v>
      </c>
      <c r="AB98" s="356"/>
      <c r="AC98" s="356"/>
      <c r="AJ98" s="11">
        <v>78</v>
      </c>
      <c r="AK98" s="3" t="s">
        <v>4370</v>
      </c>
      <c r="AL98" s="3">
        <v>6400000</v>
      </c>
      <c r="AM98" s="11">
        <v>1</v>
      </c>
      <c r="AN98" s="11">
        <f t="shared" si="22"/>
        <v>1196</v>
      </c>
      <c r="AO98" s="37">
        <f t="shared" si="23"/>
        <v>7654400000</v>
      </c>
      <c r="AP98" s="11"/>
    </row>
    <row r="99" spans="1:44">
      <c r="A99" s="354"/>
      <c r="B99" s="2" t="s">
        <v>6818</v>
      </c>
      <c r="C99" s="317">
        <v>387463</v>
      </c>
      <c r="D99" s="317">
        <v>32972110</v>
      </c>
      <c r="E99" s="317">
        <v>8449980</v>
      </c>
      <c r="F99" s="317">
        <v>29202137</v>
      </c>
      <c r="G99" s="2" t="s">
        <v>5415</v>
      </c>
      <c r="H99" s="3">
        <v>58508002.009000003</v>
      </c>
      <c r="M99" s="357" t="s">
        <v>4531</v>
      </c>
      <c r="N99" s="1">
        <v>9181756</v>
      </c>
      <c r="O99" s="357" t="s">
        <v>4805</v>
      </c>
      <c r="P99" s="357">
        <v>1194</v>
      </c>
      <c r="Q99" s="1">
        <v>335</v>
      </c>
      <c r="R99" s="1">
        <f t="shared" si="11"/>
        <v>399990</v>
      </c>
      <c r="S99" s="357" t="s">
        <v>690</v>
      </c>
      <c r="AA99" t="s">
        <v>25</v>
      </c>
      <c r="AB99" s="356"/>
      <c r="AC99" s="356"/>
      <c r="AJ99" s="11">
        <v>79</v>
      </c>
      <c r="AK99" s="3" t="s">
        <v>4368</v>
      </c>
      <c r="AL99" s="3">
        <v>5000</v>
      </c>
      <c r="AM99" s="11">
        <v>5</v>
      </c>
      <c r="AN99" s="11">
        <f t="shared" si="22"/>
        <v>1195</v>
      </c>
      <c r="AO99" s="37">
        <f t="shared" si="23"/>
        <v>5975000</v>
      </c>
      <c r="AP99" s="11"/>
      <c r="AR99" t="s">
        <v>25</v>
      </c>
    </row>
    <row r="100" spans="1:44">
      <c r="A100" s="354"/>
      <c r="B100" s="2" t="s">
        <v>6817</v>
      </c>
      <c r="C100" s="317">
        <v>385714</v>
      </c>
      <c r="D100" s="317">
        <v>33047195</v>
      </c>
      <c r="E100" s="317">
        <v>8471480</v>
      </c>
      <c r="F100" s="317">
        <v>29308460</v>
      </c>
      <c r="G100" s="2" t="s">
        <v>5417</v>
      </c>
      <c r="H100" s="3">
        <v>2245515.5410799999</v>
      </c>
      <c r="M100" s="357" t="s">
        <v>4533</v>
      </c>
      <c r="N100" s="1">
        <v>11811208</v>
      </c>
      <c r="O100" s="357" t="s">
        <v>4812</v>
      </c>
      <c r="P100" s="357">
        <v>433</v>
      </c>
      <c r="Q100" s="1">
        <v>345.68</v>
      </c>
      <c r="R100" s="1">
        <f t="shared" si="11"/>
        <v>149679.44</v>
      </c>
      <c r="S100" s="357" t="s">
        <v>690</v>
      </c>
      <c r="AB100" s="356"/>
      <c r="AC100" s="356"/>
      <c r="AJ100" s="11">
        <v>80</v>
      </c>
      <c r="AK100" s="3" t="s">
        <v>4392</v>
      </c>
      <c r="AL100" s="3">
        <v>-1750148</v>
      </c>
      <c r="AM100" s="11">
        <v>1</v>
      </c>
      <c r="AN100" s="11">
        <f t="shared" si="22"/>
        <v>1190</v>
      </c>
      <c r="AO100" s="37">
        <f t="shared" si="23"/>
        <v>-2082676120</v>
      </c>
      <c r="AP100" s="11"/>
    </row>
    <row r="101" spans="1:44">
      <c r="A101" s="354"/>
      <c r="B101" s="2" t="s">
        <v>6816</v>
      </c>
      <c r="C101" s="317">
        <v>380489</v>
      </c>
      <c r="D101" s="317">
        <v>33139342</v>
      </c>
      <c r="E101" s="317">
        <v>8329618</v>
      </c>
      <c r="F101" s="317">
        <v>28696078</v>
      </c>
      <c r="G101" s="2" t="s">
        <v>5419</v>
      </c>
      <c r="H101" s="3">
        <v>18404699.3442</v>
      </c>
      <c r="M101" s="357" t="s">
        <v>4545</v>
      </c>
      <c r="N101" s="1">
        <v>41248054</v>
      </c>
      <c r="O101" s="357" t="s">
        <v>4816</v>
      </c>
      <c r="P101" s="357">
        <v>55459</v>
      </c>
      <c r="Q101" s="1">
        <v>362.51978000000003</v>
      </c>
      <c r="R101" s="1">
        <f t="shared" si="11"/>
        <v>20104984.479020003</v>
      </c>
      <c r="S101" s="357" t="s">
        <v>422</v>
      </c>
      <c r="AB101" s="356"/>
      <c r="AC101" s="356"/>
      <c r="AJ101" s="11">
        <v>81</v>
      </c>
      <c r="AK101" s="3" t="s">
        <v>4395</v>
      </c>
      <c r="AL101" s="3">
        <v>400000</v>
      </c>
      <c r="AM101" s="11">
        <v>0</v>
      </c>
      <c r="AN101" s="11">
        <f t="shared" si="22"/>
        <v>1189</v>
      </c>
      <c r="AO101" s="37">
        <f t="shared" si="23"/>
        <v>475600000</v>
      </c>
      <c r="AP101" s="11"/>
    </row>
    <row r="102" spans="1:44">
      <c r="A102" s="354"/>
      <c r="B102" s="2" t="s">
        <v>6814</v>
      </c>
      <c r="C102" s="317">
        <v>385305</v>
      </c>
      <c r="D102" s="317">
        <v>33215966</v>
      </c>
      <c r="E102" s="317">
        <v>8274051</v>
      </c>
      <c r="F102" s="317">
        <v>29222586</v>
      </c>
      <c r="G102" s="2" t="s">
        <v>5422</v>
      </c>
      <c r="H102" s="3">
        <v>2264658.5922190002</v>
      </c>
      <c r="M102" s="357" t="s">
        <v>4552</v>
      </c>
      <c r="N102" s="1">
        <v>37328780</v>
      </c>
      <c r="O102" s="357" t="s">
        <v>4820</v>
      </c>
      <c r="P102" s="357">
        <v>-57212</v>
      </c>
      <c r="Q102" s="1">
        <v>368.45400000000001</v>
      </c>
      <c r="R102" s="1">
        <f t="shared" si="11"/>
        <v>-21079990.248</v>
      </c>
      <c r="S102" s="357" t="s">
        <v>422</v>
      </c>
      <c r="AB102" s="356"/>
      <c r="AC102" s="356"/>
      <c r="AJ102" s="11">
        <v>82</v>
      </c>
      <c r="AK102" s="3" t="s">
        <v>4395</v>
      </c>
      <c r="AL102" s="3">
        <v>-2105421</v>
      </c>
      <c r="AM102" s="11">
        <v>1</v>
      </c>
      <c r="AN102" s="11">
        <f t="shared" si="22"/>
        <v>1189</v>
      </c>
      <c r="AO102" s="37">
        <f t="shared" si="23"/>
        <v>-2503345569</v>
      </c>
      <c r="AP102" s="11"/>
      <c r="AQ102" t="s">
        <v>25</v>
      </c>
    </row>
    <row r="103" spans="1:44">
      <c r="A103" s="354"/>
      <c r="B103" s="2" t="s">
        <v>6807</v>
      </c>
      <c r="C103" s="317">
        <v>380307</v>
      </c>
      <c r="D103" s="317">
        <v>33594896.6407924</v>
      </c>
      <c r="E103" s="317">
        <v>8162767.862573673</v>
      </c>
      <c r="F103" s="317">
        <v>29624590.674153294</v>
      </c>
      <c r="G103" s="2" t="s">
        <v>5423</v>
      </c>
      <c r="H103" s="3">
        <v>22877413.789960001</v>
      </c>
      <c r="M103" s="357" t="s">
        <v>4627</v>
      </c>
      <c r="N103" s="1">
        <v>-2194100</v>
      </c>
      <c r="O103" s="357" t="s">
        <v>4821</v>
      </c>
      <c r="P103" s="357">
        <v>-15881</v>
      </c>
      <c r="Q103" s="1">
        <v>374.61599999999999</v>
      </c>
      <c r="R103" s="1">
        <f t="shared" si="11"/>
        <v>-5949276.6959999995</v>
      </c>
      <c r="S103" s="357" t="s">
        <v>422</v>
      </c>
      <c r="AB103" s="356"/>
      <c r="AC103" s="356"/>
      <c r="AJ103" s="11">
        <v>83</v>
      </c>
      <c r="AK103" s="3" t="s">
        <v>4398</v>
      </c>
      <c r="AL103" s="3">
        <v>-5527618</v>
      </c>
      <c r="AM103" s="11">
        <v>0</v>
      </c>
      <c r="AN103" s="11">
        <f t="shared" si="22"/>
        <v>1188</v>
      </c>
      <c r="AO103" s="37">
        <f t="shared" si="23"/>
        <v>-6566810184</v>
      </c>
      <c r="AP103" s="11"/>
    </row>
    <row r="104" spans="1:44">
      <c r="A104" s="354"/>
      <c r="B104" s="2" t="s">
        <v>6806</v>
      </c>
      <c r="C104" s="11"/>
      <c r="D104" s="317">
        <v>33635996</v>
      </c>
      <c r="E104" s="317">
        <v>8186907</v>
      </c>
      <c r="F104" s="317">
        <v>29604715</v>
      </c>
      <c r="G104" s="2" t="s">
        <v>5424</v>
      </c>
      <c r="H104" s="3">
        <v>2362539.4373280001</v>
      </c>
      <c r="M104" s="357" t="s">
        <v>4662</v>
      </c>
      <c r="N104" s="1">
        <v>20193916</v>
      </c>
      <c r="O104" s="357" t="s">
        <v>4827</v>
      </c>
      <c r="P104" s="357">
        <v>-41289</v>
      </c>
      <c r="Q104" s="1">
        <v>372.27</v>
      </c>
      <c r="R104" s="1">
        <f t="shared" si="11"/>
        <v>-15370656.029999999</v>
      </c>
      <c r="S104" s="357" t="s">
        <v>422</v>
      </c>
      <c r="AB104" s="356"/>
      <c r="AC104" s="356"/>
      <c r="AJ104" s="11">
        <v>84</v>
      </c>
      <c r="AK104" s="3" t="s">
        <v>4398</v>
      </c>
      <c r="AL104" s="3">
        <v>3900000</v>
      </c>
      <c r="AM104" s="11">
        <v>3</v>
      </c>
      <c r="AN104" s="11">
        <f t="shared" si="22"/>
        <v>1188</v>
      </c>
      <c r="AO104" s="37">
        <f t="shared" si="23"/>
        <v>4633200000</v>
      </c>
      <c r="AP104" s="11"/>
    </row>
    <row r="105" spans="1:44">
      <c r="A105" s="354"/>
      <c r="B105" s="322" t="s">
        <v>6805</v>
      </c>
      <c r="C105" s="322"/>
      <c r="D105" s="317">
        <v>33865204</v>
      </c>
      <c r="E105" s="317">
        <v>8182613</v>
      </c>
      <c r="F105" s="317">
        <v>29488286</v>
      </c>
      <c r="G105" s="2" t="s">
        <v>5425</v>
      </c>
      <c r="H105" s="3">
        <v>16042676.656608</v>
      </c>
      <c r="M105" s="357" t="s">
        <v>4726</v>
      </c>
      <c r="N105" s="1">
        <v>-2000000</v>
      </c>
      <c r="O105" s="357" t="s">
        <v>4833</v>
      </c>
      <c r="P105" s="357">
        <v>13563</v>
      </c>
      <c r="Q105" s="1">
        <v>365.69799999999998</v>
      </c>
      <c r="R105" s="1">
        <f t="shared" si="11"/>
        <v>4959961.9739999995</v>
      </c>
      <c r="S105" s="357" t="s">
        <v>422</v>
      </c>
      <c r="AB105" s="356"/>
      <c r="AC105" s="356"/>
      <c r="AJ105" s="11">
        <v>85</v>
      </c>
      <c r="AK105" s="3" t="s">
        <v>4399</v>
      </c>
      <c r="AL105" s="3">
        <v>-3969754</v>
      </c>
      <c r="AM105" s="11">
        <v>1</v>
      </c>
      <c r="AN105" s="11">
        <f t="shared" si="22"/>
        <v>1185</v>
      </c>
      <c r="AO105" s="37">
        <f t="shared" si="23"/>
        <v>-4704158490</v>
      </c>
      <c r="AP105" s="11"/>
    </row>
    <row r="106" spans="1:44">
      <c r="A106" s="354"/>
      <c r="B106" s="2" t="s">
        <v>6804</v>
      </c>
      <c r="C106" s="2"/>
      <c r="D106" s="317">
        <v>33863109</v>
      </c>
      <c r="E106" s="317">
        <v>8419617</v>
      </c>
      <c r="F106" s="317">
        <v>28916812</v>
      </c>
      <c r="G106" s="2" t="s">
        <v>5426</v>
      </c>
      <c r="H106" s="3">
        <v>18403291.448284</v>
      </c>
      <c r="M106" s="357" t="s">
        <v>4786</v>
      </c>
      <c r="N106" s="1">
        <v>6800000</v>
      </c>
      <c r="O106" s="357" t="s">
        <v>4833</v>
      </c>
      <c r="P106" s="357">
        <v>27344</v>
      </c>
      <c r="Q106" s="1">
        <v>365.69799999999998</v>
      </c>
      <c r="R106" s="1">
        <f t="shared" si="11"/>
        <v>9999646.1119999997</v>
      </c>
      <c r="S106" s="357" t="s">
        <v>422</v>
      </c>
      <c r="AB106" s="356"/>
      <c r="AC106" s="356"/>
      <c r="AJ106" s="11">
        <v>86</v>
      </c>
      <c r="AK106" s="3" t="s">
        <v>4407</v>
      </c>
      <c r="AL106" s="3">
        <v>-25574455</v>
      </c>
      <c r="AM106" s="11">
        <v>0</v>
      </c>
      <c r="AN106" s="11">
        <f t="shared" si="22"/>
        <v>1184</v>
      </c>
      <c r="AO106" s="37">
        <f t="shared" si="23"/>
        <v>-30280154720</v>
      </c>
      <c r="AP106" s="11"/>
      <c r="AR106" t="s">
        <v>25</v>
      </c>
    </row>
    <row r="107" spans="1:44">
      <c r="A107" s="354"/>
      <c r="B107" s="2" t="s">
        <v>6802</v>
      </c>
      <c r="C107" s="2"/>
      <c r="D107" s="317">
        <v>33695882</v>
      </c>
      <c r="E107" s="317">
        <v>8357340</v>
      </c>
      <c r="F107" s="317">
        <v>29176513</v>
      </c>
      <c r="G107" s="2" t="s">
        <v>5427</v>
      </c>
      <c r="H107" s="3">
        <v>10561447.246918</v>
      </c>
      <c r="M107" s="357" t="s">
        <v>4793</v>
      </c>
      <c r="N107" s="1">
        <v>850000</v>
      </c>
      <c r="O107" s="357" t="s">
        <v>4840</v>
      </c>
      <c r="P107" s="357">
        <v>-103145</v>
      </c>
      <c r="Q107" s="1">
        <v>393.334</v>
      </c>
      <c r="R107" s="1">
        <f t="shared" si="11"/>
        <v>-40570435.43</v>
      </c>
      <c r="S107" s="279" t="s">
        <v>4845</v>
      </c>
      <c r="AB107" s="356"/>
      <c r="AC107" s="356"/>
      <c r="AJ107" s="11">
        <v>87</v>
      </c>
      <c r="AK107" s="3" t="s">
        <v>4407</v>
      </c>
      <c r="AL107" s="3">
        <v>4000000</v>
      </c>
      <c r="AM107" s="11">
        <v>1</v>
      </c>
      <c r="AN107" s="11">
        <f t="shared" si="22"/>
        <v>1184</v>
      </c>
      <c r="AO107" s="37">
        <f t="shared" si="23"/>
        <v>4736000000</v>
      </c>
      <c r="AP107" s="11"/>
    </row>
    <row r="108" spans="1:44">
      <c r="A108" s="354"/>
      <c r="B108" s="2" t="s">
        <v>6800</v>
      </c>
      <c r="C108" s="2"/>
      <c r="D108" s="317">
        <v>33543525</v>
      </c>
      <c r="E108" s="317">
        <v>8338071</v>
      </c>
      <c r="F108" s="317">
        <v>29308571</v>
      </c>
      <c r="G108" s="2" t="s">
        <v>5428</v>
      </c>
      <c r="H108" s="3">
        <v>1226811.9176660001</v>
      </c>
      <c r="M108" s="357" t="s">
        <v>4799</v>
      </c>
      <c r="N108" s="1">
        <v>2290500</v>
      </c>
      <c r="O108" s="357" t="s">
        <v>4840</v>
      </c>
      <c r="P108" s="357">
        <v>-369</v>
      </c>
      <c r="Q108" s="1">
        <v>393.334</v>
      </c>
      <c r="R108" s="1">
        <f t="shared" si="11"/>
        <v>-145140.24600000001</v>
      </c>
      <c r="S108" s="279" t="s">
        <v>4916</v>
      </c>
      <c r="AB108" s="356"/>
      <c r="AC108" s="356"/>
      <c r="AJ108" s="11">
        <v>88</v>
      </c>
      <c r="AK108" s="3" t="s">
        <v>914</v>
      </c>
      <c r="AL108" s="3">
        <v>-5000000</v>
      </c>
      <c r="AM108" s="11">
        <v>2</v>
      </c>
      <c r="AN108" s="11">
        <f t="shared" si="22"/>
        <v>1183</v>
      </c>
      <c r="AO108" s="37">
        <f t="shared" si="23"/>
        <v>-5915000000</v>
      </c>
      <c r="AP108" s="11"/>
    </row>
    <row r="109" spans="1:44">
      <c r="A109" s="354"/>
      <c r="B109" s="2" t="s">
        <v>6799</v>
      </c>
      <c r="C109" s="2"/>
      <c r="D109" s="317">
        <v>33027671</v>
      </c>
      <c r="E109" s="317">
        <v>8145086</v>
      </c>
      <c r="F109" s="323">
        <v>30068942</v>
      </c>
      <c r="G109" s="2" t="s">
        <v>5429</v>
      </c>
      <c r="H109" s="3">
        <v>39373959.190266006</v>
      </c>
      <c r="M109" s="357" t="s">
        <v>4805</v>
      </c>
      <c r="N109" s="1">
        <v>400000</v>
      </c>
      <c r="O109" s="357" t="s">
        <v>4840</v>
      </c>
      <c r="P109" s="357">
        <v>-889</v>
      </c>
      <c r="Q109" s="1">
        <v>393.334</v>
      </c>
      <c r="R109" s="1">
        <f t="shared" si="11"/>
        <v>-349673.92599999998</v>
      </c>
      <c r="S109" s="279" t="s">
        <v>4917</v>
      </c>
      <c r="AB109" s="356"/>
      <c r="AC109" s="356"/>
      <c r="AJ109" s="11">
        <v>89</v>
      </c>
      <c r="AK109" s="3" t="s">
        <v>4410</v>
      </c>
      <c r="AL109" s="3">
        <v>10000000</v>
      </c>
      <c r="AM109" s="11">
        <v>4</v>
      </c>
      <c r="AN109" s="11">
        <f t="shared" si="22"/>
        <v>1181</v>
      </c>
      <c r="AO109" s="37">
        <f t="shared" si="23"/>
        <v>11810000000</v>
      </c>
      <c r="AP109" s="11"/>
    </row>
    <row r="110" spans="1:44">
      <c r="A110" s="354"/>
      <c r="B110" s="2" t="s">
        <v>6797</v>
      </c>
      <c r="C110" s="2"/>
      <c r="D110" s="317">
        <v>33329845</v>
      </c>
      <c r="E110" s="317">
        <v>8188700</v>
      </c>
      <c r="F110" s="317">
        <v>29804772</v>
      </c>
      <c r="G110" s="2" t="s">
        <v>5431</v>
      </c>
      <c r="H110" s="3">
        <v>27703487.063980002</v>
      </c>
      <c r="M110" s="357" t="s">
        <v>4812</v>
      </c>
      <c r="N110" s="1">
        <v>150000</v>
      </c>
      <c r="O110" s="357" t="s">
        <v>4849</v>
      </c>
      <c r="P110" s="357">
        <v>2546</v>
      </c>
      <c r="Q110" s="1">
        <v>393</v>
      </c>
      <c r="R110" s="1">
        <f t="shared" si="11"/>
        <v>1000578</v>
      </c>
      <c r="S110" s="279" t="s">
        <v>422</v>
      </c>
      <c r="AB110" s="356"/>
      <c r="AC110" s="356"/>
      <c r="AE110" t="s">
        <v>25</v>
      </c>
      <c r="AJ110" s="11">
        <v>90</v>
      </c>
      <c r="AK110" s="3" t="s">
        <v>4412</v>
      </c>
      <c r="AL110" s="3">
        <v>-5241937</v>
      </c>
      <c r="AM110" s="11">
        <v>0</v>
      </c>
      <c r="AN110" s="11">
        <f t="shared" si="22"/>
        <v>1177</v>
      </c>
      <c r="AO110" s="37">
        <f t="shared" si="23"/>
        <v>-6169759849</v>
      </c>
      <c r="AP110" s="11"/>
    </row>
    <row r="111" spans="1:44">
      <c r="A111" s="354"/>
      <c r="B111" s="2" t="s">
        <v>6789</v>
      </c>
      <c r="C111" s="2"/>
      <c r="D111" s="317">
        <v>32675546</v>
      </c>
      <c r="E111" s="317">
        <v>8310289</v>
      </c>
      <c r="F111" s="317">
        <v>29605406</v>
      </c>
      <c r="G111" s="2" t="s">
        <v>5432</v>
      </c>
      <c r="H111" s="3">
        <v>8738896.6890719999</v>
      </c>
      <c r="M111" s="357" t="s">
        <v>4840</v>
      </c>
      <c r="N111" s="1">
        <v>-144950</v>
      </c>
      <c r="O111" s="357" t="s">
        <v>4850</v>
      </c>
      <c r="P111" s="357">
        <v>1034</v>
      </c>
      <c r="Q111" s="1">
        <v>386.608</v>
      </c>
      <c r="R111" s="1">
        <f t="shared" si="11"/>
        <v>399752.67200000002</v>
      </c>
      <c r="S111" s="279" t="s">
        <v>422</v>
      </c>
      <c r="AB111" s="356"/>
      <c r="AC111" s="356"/>
      <c r="AJ111" s="11">
        <v>91</v>
      </c>
      <c r="AK111" s="3" t="s">
        <v>4412</v>
      </c>
      <c r="AL111" s="3">
        <v>21900000</v>
      </c>
      <c r="AM111" s="11">
        <v>2</v>
      </c>
      <c r="AN111" s="11">
        <f t="shared" si="22"/>
        <v>1177</v>
      </c>
      <c r="AO111" s="37">
        <f t="shared" si="23"/>
        <v>25776300000</v>
      </c>
      <c r="AP111" s="11"/>
      <c r="AR111" t="s">
        <v>25</v>
      </c>
    </row>
    <row r="112" spans="1:44">
      <c r="A112" s="354"/>
      <c r="B112" s="28" t="s">
        <v>6788</v>
      </c>
      <c r="C112" s="28"/>
      <c r="D112" s="317">
        <v>32872808</v>
      </c>
      <c r="E112" s="317">
        <v>8179528</v>
      </c>
      <c r="F112" s="317">
        <v>30000426</v>
      </c>
      <c r="G112" s="2" t="s">
        <v>4100</v>
      </c>
      <c r="H112" s="3">
        <v>348201.66738</v>
      </c>
      <c r="M112" s="357" t="s">
        <v>4865</v>
      </c>
      <c r="N112" s="1">
        <v>320000</v>
      </c>
      <c r="O112" s="357" t="s">
        <v>4857</v>
      </c>
      <c r="P112" s="357">
        <v>300</v>
      </c>
      <c r="Q112" s="1">
        <v>400</v>
      </c>
      <c r="R112" s="1">
        <f t="shared" si="11"/>
        <v>120000</v>
      </c>
      <c r="S112" s="279" t="s">
        <v>422</v>
      </c>
      <c r="AB112" s="356"/>
      <c r="AC112" s="356"/>
      <c r="AJ112" s="11">
        <v>92</v>
      </c>
      <c r="AK112" s="3" t="s">
        <v>4419</v>
      </c>
      <c r="AL112" s="3">
        <v>-15000000</v>
      </c>
      <c r="AM112" s="11">
        <v>0</v>
      </c>
      <c r="AN112" s="11">
        <f t="shared" si="22"/>
        <v>1175</v>
      </c>
      <c r="AO112" s="37">
        <f t="shared" si="23"/>
        <v>-17625000000</v>
      </c>
      <c r="AP112" s="11"/>
      <c r="AQ112" t="s">
        <v>25</v>
      </c>
    </row>
    <row r="113" spans="1:45">
      <c r="A113" s="354"/>
      <c r="B113" s="28" t="s">
        <v>6786</v>
      </c>
      <c r="C113" s="28"/>
      <c r="D113" s="2"/>
      <c r="E113" s="317">
        <v>8292963</v>
      </c>
      <c r="F113" s="317">
        <v>29724216</v>
      </c>
      <c r="G113" s="2" t="s">
        <v>5433</v>
      </c>
      <c r="H113" s="3">
        <v>4158090.8935679998</v>
      </c>
      <c r="M113" s="357" t="s">
        <v>4869</v>
      </c>
      <c r="N113" s="1">
        <v>500000</v>
      </c>
      <c r="O113" s="357" t="s">
        <v>4865</v>
      </c>
      <c r="P113" s="357">
        <v>782</v>
      </c>
      <c r="Q113" s="1">
        <v>409</v>
      </c>
      <c r="R113" s="1">
        <f t="shared" si="11"/>
        <v>319838</v>
      </c>
      <c r="S113" s="279" t="s">
        <v>690</v>
      </c>
      <c r="AB113" s="356"/>
      <c r="AC113" s="356"/>
      <c r="AJ113" s="11">
        <v>93</v>
      </c>
      <c r="AK113" s="3" t="s">
        <v>4419</v>
      </c>
      <c r="AL113" s="3">
        <v>3000000</v>
      </c>
      <c r="AM113" s="11">
        <v>1</v>
      </c>
      <c r="AN113" s="11">
        <f t="shared" si="22"/>
        <v>1175</v>
      </c>
      <c r="AO113" s="37">
        <f t="shared" si="23"/>
        <v>3525000000</v>
      </c>
      <c r="AP113" s="11"/>
    </row>
    <row r="114" spans="1:45">
      <c r="A114" s="354"/>
      <c r="B114" s="28" t="s">
        <v>6784</v>
      </c>
      <c r="C114" s="28"/>
      <c r="D114" s="11"/>
      <c r="E114" s="317">
        <v>8298953</v>
      </c>
      <c r="F114" s="317">
        <v>29631163</v>
      </c>
      <c r="G114" s="2" t="s">
        <v>5437</v>
      </c>
      <c r="H114" s="3">
        <v>110770524.97879399</v>
      </c>
      <c r="M114" s="357" t="s">
        <v>4912</v>
      </c>
      <c r="N114" s="1">
        <v>400000</v>
      </c>
      <c r="O114" s="357" t="s">
        <v>4869</v>
      </c>
      <c r="P114" s="357">
        <v>1220</v>
      </c>
      <c r="Q114" s="1">
        <v>409.9</v>
      </c>
      <c r="R114" s="1">
        <f t="shared" si="11"/>
        <v>500078</v>
      </c>
      <c r="S114" s="279" t="s">
        <v>690</v>
      </c>
      <c r="AB114" s="356"/>
      <c r="AC114" s="356"/>
      <c r="AJ114" s="11">
        <v>94</v>
      </c>
      <c r="AK114" s="3" t="s">
        <v>4422</v>
      </c>
      <c r="AL114" s="3">
        <v>-2103736</v>
      </c>
      <c r="AM114" s="11">
        <v>0</v>
      </c>
      <c r="AN114" s="11">
        <f t="shared" si="22"/>
        <v>1174</v>
      </c>
      <c r="AO114" s="37">
        <f t="shared" si="23"/>
        <v>-2469786064</v>
      </c>
      <c r="AP114" s="11"/>
    </row>
    <row r="115" spans="1:45">
      <c r="A115" s="354"/>
      <c r="B115" s="28" t="s">
        <v>6782</v>
      </c>
      <c r="C115" s="28"/>
      <c r="D115" s="11"/>
      <c r="E115" s="317">
        <v>8235577</v>
      </c>
      <c r="F115" s="317">
        <v>29962922</v>
      </c>
      <c r="G115" s="2" t="s">
        <v>5448</v>
      </c>
      <c r="H115" s="3">
        <v>6684147.0064600008</v>
      </c>
      <c r="M115" s="357" t="s">
        <v>4915</v>
      </c>
      <c r="N115" s="1">
        <v>50000</v>
      </c>
      <c r="O115" s="357" t="s">
        <v>4870</v>
      </c>
      <c r="P115" s="357">
        <v>1285</v>
      </c>
      <c r="Q115" s="1">
        <v>388.84</v>
      </c>
      <c r="R115" s="1">
        <f t="shared" si="11"/>
        <v>499659.39999999997</v>
      </c>
      <c r="S115" s="279" t="s">
        <v>422</v>
      </c>
      <c r="AB115" s="356"/>
      <c r="AC115" s="356"/>
      <c r="AJ115" s="11">
        <v>95</v>
      </c>
      <c r="AK115" s="3" t="s">
        <v>4422</v>
      </c>
      <c r="AL115" s="3">
        <v>220000</v>
      </c>
      <c r="AM115" s="11">
        <v>3</v>
      </c>
      <c r="AN115" s="11">
        <f t="shared" si="22"/>
        <v>1174</v>
      </c>
      <c r="AO115" s="37">
        <f t="shared" si="23"/>
        <v>258280000</v>
      </c>
      <c r="AP115" s="11"/>
    </row>
    <row r="116" spans="1:45">
      <c r="A116" s="354"/>
      <c r="B116" s="28" t="s">
        <v>6781</v>
      </c>
      <c r="C116" s="28"/>
      <c r="D116" s="11"/>
      <c r="E116" s="317">
        <v>8314333</v>
      </c>
      <c r="F116" s="317">
        <v>29627913</v>
      </c>
      <c r="G116" s="2" t="s">
        <v>5451</v>
      </c>
      <c r="H116" s="3">
        <v>1826535.2307560001</v>
      </c>
      <c r="M116" s="357" t="s">
        <v>4924</v>
      </c>
      <c r="N116" s="1">
        <v>300000</v>
      </c>
      <c r="O116" s="357" t="s">
        <v>4862</v>
      </c>
      <c r="P116" s="357">
        <v>1924</v>
      </c>
      <c r="Q116" s="1">
        <v>386.69600000000003</v>
      </c>
      <c r="R116" s="1">
        <f t="shared" si="11"/>
        <v>744003.10400000005</v>
      </c>
      <c r="S116" s="279" t="s">
        <v>422</v>
      </c>
      <c r="AB116" s="356"/>
      <c r="AC116" s="356"/>
      <c r="AJ116" s="11">
        <v>96</v>
      </c>
      <c r="AK116" s="3" t="s">
        <v>4431</v>
      </c>
      <c r="AL116" s="3">
        <v>4000000</v>
      </c>
      <c r="AM116" s="11">
        <v>1</v>
      </c>
      <c r="AN116" s="11">
        <f t="shared" si="22"/>
        <v>1171</v>
      </c>
      <c r="AO116" s="37">
        <f t="shared" si="23"/>
        <v>4684000000</v>
      </c>
      <c r="AP116" s="11"/>
    </row>
    <row r="117" spans="1:45">
      <c r="A117" s="354"/>
      <c r="B117" s="28" t="s">
        <v>6779</v>
      </c>
      <c r="C117" s="28"/>
      <c r="D117" s="11"/>
      <c r="E117" s="317">
        <v>8403580</v>
      </c>
      <c r="F117" s="317">
        <v>29345833</v>
      </c>
      <c r="G117" s="2" t="s">
        <v>5453</v>
      </c>
      <c r="H117" s="3">
        <v>3577366.94</v>
      </c>
      <c r="M117" s="357" t="s">
        <v>4945</v>
      </c>
      <c r="N117" s="1">
        <v>250000</v>
      </c>
      <c r="O117" s="357" t="s">
        <v>4886</v>
      </c>
      <c r="P117" s="357">
        <v>165</v>
      </c>
      <c r="Q117" s="1">
        <v>393.5</v>
      </c>
      <c r="R117" s="1">
        <f t="shared" si="11"/>
        <v>64927.5</v>
      </c>
      <c r="S117" s="279" t="s">
        <v>422</v>
      </c>
      <c r="AB117" s="356"/>
      <c r="AC117" s="356"/>
      <c r="AJ117" s="11">
        <v>97</v>
      </c>
      <c r="AK117" s="3" t="s">
        <v>4435</v>
      </c>
      <c r="AL117" s="3">
        <v>-9000000</v>
      </c>
      <c r="AM117" s="11">
        <v>0</v>
      </c>
      <c r="AN117" s="11">
        <f t="shared" si="22"/>
        <v>1170</v>
      </c>
      <c r="AO117" s="37">
        <f t="shared" si="23"/>
        <v>-10530000000</v>
      </c>
      <c r="AP117" s="11"/>
      <c r="AR117" t="s">
        <v>25</v>
      </c>
    </row>
    <row r="118" spans="1:45">
      <c r="A118" s="354"/>
      <c r="B118" s="28" t="s">
        <v>6778</v>
      </c>
      <c r="C118" s="28"/>
      <c r="D118" s="11"/>
      <c r="E118" s="317">
        <v>8322637</v>
      </c>
      <c r="F118" s="317">
        <v>29697683</v>
      </c>
      <c r="G118" s="2" t="s">
        <v>5454</v>
      </c>
      <c r="H118" s="3">
        <v>21239029.173567999</v>
      </c>
      <c r="M118" s="357" t="s">
        <v>4978</v>
      </c>
      <c r="N118" s="1">
        <v>200000</v>
      </c>
      <c r="O118" s="357" t="s">
        <v>4891</v>
      </c>
      <c r="P118" s="357">
        <v>-34859</v>
      </c>
      <c r="Q118" s="1">
        <v>403.1585</v>
      </c>
      <c r="R118" s="1">
        <f t="shared" si="11"/>
        <v>-14053702.1515</v>
      </c>
      <c r="S118" s="279" t="s">
        <v>4894</v>
      </c>
      <c r="AB118" s="356"/>
      <c r="AC118" s="356"/>
      <c r="AJ118" s="11">
        <v>98</v>
      </c>
      <c r="AK118" s="3" t="s">
        <v>4435</v>
      </c>
      <c r="AL118" s="3">
        <v>13900000</v>
      </c>
      <c r="AM118" s="11">
        <v>2</v>
      </c>
      <c r="AN118" s="11">
        <f t="shared" si="22"/>
        <v>1170</v>
      </c>
      <c r="AO118" s="37">
        <f t="shared" si="23"/>
        <v>16263000000</v>
      </c>
      <c r="AP118" s="11"/>
    </row>
    <row r="119" spans="1:45">
      <c r="A119" s="354"/>
      <c r="B119" s="28" t="s">
        <v>6777</v>
      </c>
      <c r="C119" s="28"/>
      <c r="D119" s="11"/>
      <c r="E119" s="317">
        <v>8421820</v>
      </c>
      <c r="F119" s="317">
        <v>29013455</v>
      </c>
      <c r="G119" s="2" t="s">
        <v>5456</v>
      </c>
      <c r="H119" s="3">
        <v>242957252.40163299</v>
      </c>
      <c r="M119" s="357" t="s">
        <v>5010</v>
      </c>
      <c r="N119" s="1">
        <v>122000</v>
      </c>
      <c r="O119" s="357" t="s">
        <v>4863</v>
      </c>
      <c r="P119" s="357">
        <v>8476</v>
      </c>
      <c r="Q119" s="1">
        <v>419.49900000000002</v>
      </c>
      <c r="R119" s="1">
        <f t="shared" si="11"/>
        <v>3555673.5240000002</v>
      </c>
      <c r="S119" s="279" t="s">
        <v>4900</v>
      </c>
      <c r="AB119" s="356"/>
      <c r="AC119" s="356"/>
      <c r="AJ119" s="11">
        <v>99</v>
      </c>
      <c r="AK119" s="3" t="s">
        <v>4439</v>
      </c>
      <c r="AL119" s="3">
        <v>-8127577</v>
      </c>
      <c r="AM119" s="11">
        <v>1</v>
      </c>
      <c r="AN119" s="11">
        <f t="shared" si="22"/>
        <v>1168</v>
      </c>
      <c r="AO119" s="37">
        <f t="shared" si="23"/>
        <v>-9493009936</v>
      </c>
      <c r="AP119" s="11"/>
      <c r="AQ119" t="s">
        <v>25</v>
      </c>
      <c r="AS119" t="s">
        <v>25</v>
      </c>
    </row>
    <row r="120" spans="1:45">
      <c r="A120" s="354"/>
      <c r="B120" s="28" t="s">
        <v>6776</v>
      </c>
      <c r="C120" s="28"/>
      <c r="D120" s="11"/>
      <c r="E120" s="317">
        <v>8492243</v>
      </c>
      <c r="F120" s="317">
        <v>28413102</v>
      </c>
      <c r="G120" s="2" t="s">
        <v>5459</v>
      </c>
      <c r="H120" s="3">
        <v>7357181.2750800001</v>
      </c>
      <c r="M120" s="357" t="s">
        <v>5018</v>
      </c>
      <c r="N120" s="1">
        <v>200000</v>
      </c>
      <c r="O120" s="357" t="s">
        <v>4912</v>
      </c>
      <c r="P120" s="357">
        <v>903</v>
      </c>
      <c r="Q120" s="1">
        <v>442.77379999999999</v>
      </c>
      <c r="R120" s="1">
        <f t="shared" si="11"/>
        <v>399824.7414</v>
      </c>
      <c r="S120" s="279" t="s">
        <v>690</v>
      </c>
      <c r="AB120" s="356"/>
      <c r="AC120" s="356"/>
      <c r="AJ120" s="11">
        <v>100</v>
      </c>
      <c r="AK120" s="3" t="s">
        <v>3606</v>
      </c>
      <c r="AL120" s="3">
        <v>15792549</v>
      </c>
      <c r="AM120" s="11">
        <v>3</v>
      </c>
      <c r="AN120" s="11">
        <f t="shared" si="22"/>
        <v>1167</v>
      </c>
      <c r="AO120" s="37">
        <f t="shared" si="23"/>
        <v>18429904683</v>
      </c>
      <c r="AP120" s="11"/>
      <c r="AQ120" t="s">
        <v>25</v>
      </c>
      <c r="AR120" t="s">
        <v>25</v>
      </c>
    </row>
    <row r="121" spans="1:45">
      <c r="A121" s="354"/>
      <c r="B121" s="28" t="s">
        <v>6769</v>
      </c>
      <c r="C121" s="28"/>
      <c r="D121" s="11"/>
      <c r="E121" s="317">
        <v>8503989</v>
      </c>
      <c r="F121" s="317">
        <v>28837784</v>
      </c>
      <c r="G121" s="2" t="s">
        <v>5461</v>
      </c>
      <c r="H121" s="3">
        <v>14951411.942400001</v>
      </c>
      <c r="I121" s="475"/>
      <c r="M121" s="357" t="s">
        <v>5028</v>
      </c>
      <c r="N121" s="1">
        <v>60000</v>
      </c>
      <c r="O121" s="357" t="s">
        <v>4915</v>
      </c>
      <c r="P121" s="357">
        <v>113</v>
      </c>
      <c r="Q121" s="1">
        <v>442.48200000000003</v>
      </c>
      <c r="R121" s="1">
        <f t="shared" ref="R121:R202" si="24">P121*Q121</f>
        <v>50000.466</v>
      </c>
      <c r="S121" s="279" t="s">
        <v>690</v>
      </c>
      <c r="AB121" s="356"/>
      <c r="AC121" s="356"/>
      <c r="AJ121" s="11">
        <v>101</v>
      </c>
      <c r="AK121" s="3" t="s">
        <v>4442</v>
      </c>
      <c r="AL121" s="3">
        <v>8800000</v>
      </c>
      <c r="AM121" s="11">
        <v>0</v>
      </c>
      <c r="AN121" s="11">
        <f t="shared" ref="AN121:AN126" si="25">AN122+AM121</f>
        <v>1164</v>
      </c>
      <c r="AO121" s="37">
        <f t="shared" ref="AO121:AO144" si="26">AL121*AN121</f>
        <v>10243200000</v>
      </c>
      <c r="AP121" s="11"/>
      <c r="AR121" t="s">
        <v>25</v>
      </c>
    </row>
    <row r="122" spans="1:45" ht="17.25" customHeight="1">
      <c r="A122" s="354"/>
      <c r="B122" s="28" t="s">
        <v>6768</v>
      </c>
      <c r="C122" s="28"/>
      <c r="D122" s="11"/>
      <c r="E122" s="317">
        <v>8454346</v>
      </c>
      <c r="F122" s="317">
        <v>28322059</v>
      </c>
      <c r="G122" s="2" t="s">
        <v>5463</v>
      </c>
      <c r="H122" s="3">
        <v>47928209.377011999</v>
      </c>
      <c r="I122" s="475"/>
      <c r="M122" s="357" t="s">
        <v>5087</v>
      </c>
      <c r="N122" s="1">
        <v>-200000</v>
      </c>
      <c r="O122" s="357" t="s">
        <v>4924</v>
      </c>
      <c r="P122" s="357">
        <v>671</v>
      </c>
      <c r="Q122" s="1">
        <v>447</v>
      </c>
      <c r="R122" s="1">
        <f t="shared" si="24"/>
        <v>299937</v>
      </c>
      <c r="S122" s="279" t="s">
        <v>690</v>
      </c>
      <c r="AB122" s="356"/>
      <c r="AC122" s="356"/>
      <c r="AJ122" s="53">
        <v>102</v>
      </c>
      <c r="AK122" s="54" t="s">
        <v>4442</v>
      </c>
      <c r="AL122" s="54">
        <v>13071612</v>
      </c>
      <c r="AM122" s="53">
        <v>1</v>
      </c>
      <c r="AN122" s="53">
        <f t="shared" si="25"/>
        <v>1164</v>
      </c>
      <c r="AO122" s="54">
        <f t="shared" si="26"/>
        <v>15215356368</v>
      </c>
      <c r="AP122" s="141" t="s">
        <v>4443</v>
      </c>
    </row>
    <row r="123" spans="1:45">
      <c r="A123" s="354"/>
      <c r="B123" s="28" t="s">
        <v>6762</v>
      </c>
      <c r="C123" s="28"/>
      <c r="D123" s="11"/>
      <c r="E123" s="317">
        <v>8586134</v>
      </c>
      <c r="F123" s="317">
        <v>28298912</v>
      </c>
      <c r="G123" s="2" t="s">
        <v>5464</v>
      </c>
      <c r="H123" s="3">
        <v>2281595.69937</v>
      </c>
      <c r="I123" s="475"/>
      <c r="M123" s="357" t="s">
        <v>5149</v>
      </c>
      <c r="N123" s="1">
        <v>-9000000</v>
      </c>
      <c r="O123" s="357" t="s">
        <v>4926</v>
      </c>
      <c r="P123" s="357">
        <v>7</v>
      </c>
      <c r="Q123" s="1">
        <v>465.31200000000001</v>
      </c>
      <c r="R123" s="1">
        <f t="shared" si="24"/>
        <v>3257.1840000000002</v>
      </c>
      <c r="S123" s="279" t="s">
        <v>422</v>
      </c>
      <c r="AB123" s="356"/>
      <c r="AC123" s="356"/>
      <c r="AJ123" s="63">
        <v>103</v>
      </c>
      <c r="AK123" s="64" t="s">
        <v>4446</v>
      </c>
      <c r="AL123" s="64">
        <v>16727037</v>
      </c>
      <c r="AM123" s="63">
        <v>0</v>
      </c>
      <c r="AN123" s="63">
        <f t="shared" si="25"/>
        <v>1163</v>
      </c>
      <c r="AO123" s="64">
        <f t="shared" si="26"/>
        <v>19453544031</v>
      </c>
      <c r="AP123" s="63" t="s">
        <v>4453</v>
      </c>
    </row>
    <row r="124" spans="1:45">
      <c r="A124" s="354"/>
      <c r="B124" s="28" t="s">
        <v>6761</v>
      </c>
      <c r="C124" s="28"/>
      <c r="D124" s="11"/>
      <c r="E124" s="317">
        <v>8610051</v>
      </c>
      <c r="F124" s="317">
        <v>28757587</v>
      </c>
      <c r="G124" s="2" t="s">
        <v>5465</v>
      </c>
      <c r="H124" s="3">
        <v>2964916.035069</v>
      </c>
      <c r="I124" s="475"/>
      <c r="M124" s="357" t="s">
        <v>5206</v>
      </c>
      <c r="N124" s="1">
        <v>-26000000</v>
      </c>
      <c r="O124" s="357" t="s">
        <v>4930</v>
      </c>
      <c r="P124" s="357">
        <v>12950</v>
      </c>
      <c r="Q124" s="1">
        <v>463.31599999999997</v>
      </c>
      <c r="R124" s="1">
        <f t="shared" si="24"/>
        <v>5999942.1999999993</v>
      </c>
      <c r="S124" s="279" t="s">
        <v>422</v>
      </c>
      <c r="AB124" s="356"/>
      <c r="AC124" s="356"/>
      <c r="AJ124" s="11">
        <v>104</v>
      </c>
      <c r="AK124" s="3" t="s">
        <v>4446</v>
      </c>
      <c r="AL124" s="3">
        <v>12000000</v>
      </c>
      <c r="AM124" s="11">
        <v>1</v>
      </c>
      <c r="AN124" s="11">
        <f t="shared" si="25"/>
        <v>1163</v>
      </c>
      <c r="AO124" s="37">
        <f t="shared" si="26"/>
        <v>13956000000</v>
      </c>
      <c r="AP124" s="11" t="s">
        <v>4454</v>
      </c>
    </row>
    <row r="125" spans="1:45">
      <c r="A125" s="354"/>
      <c r="B125" s="28" t="s">
        <v>6759</v>
      </c>
      <c r="C125" s="28"/>
      <c r="D125" s="11"/>
      <c r="E125" s="317">
        <v>8513365</v>
      </c>
      <c r="F125" s="317">
        <v>28095606</v>
      </c>
      <c r="G125" s="2" t="s">
        <v>5466</v>
      </c>
      <c r="H125" s="3">
        <v>6460549.4269619994</v>
      </c>
      <c r="I125" s="475"/>
      <c r="M125" s="357" t="s">
        <v>5210</v>
      </c>
      <c r="N125" s="1">
        <v>-95900000</v>
      </c>
      <c r="O125" s="357" t="s">
        <v>4932</v>
      </c>
      <c r="P125" s="357">
        <v>37</v>
      </c>
      <c r="Q125" s="1">
        <v>463.315</v>
      </c>
      <c r="R125" s="1">
        <f t="shared" si="24"/>
        <v>17142.654999999999</v>
      </c>
      <c r="S125" s="279" t="s">
        <v>422</v>
      </c>
      <c r="AB125" s="356"/>
      <c r="AC125" s="356"/>
      <c r="AJ125" s="63">
        <v>105</v>
      </c>
      <c r="AK125" s="64" t="s">
        <v>4388</v>
      </c>
      <c r="AL125" s="64">
        <v>88697667</v>
      </c>
      <c r="AM125" s="63">
        <v>1</v>
      </c>
      <c r="AN125" s="63">
        <f t="shared" si="25"/>
        <v>1162</v>
      </c>
      <c r="AO125" s="64">
        <f t="shared" si="26"/>
        <v>103066689054</v>
      </c>
      <c r="AP125" s="63" t="s">
        <v>4455</v>
      </c>
      <c r="AR125" t="s">
        <v>25</v>
      </c>
    </row>
    <row r="126" spans="1:45">
      <c r="A126" s="354"/>
      <c r="B126" s="28" t="s">
        <v>6749</v>
      </c>
      <c r="C126" s="28"/>
      <c r="D126" s="11"/>
      <c r="E126" s="317">
        <v>8529023</v>
      </c>
      <c r="F126" s="317">
        <v>28319161</v>
      </c>
      <c r="G126" s="2" t="s">
        <v>5467</v>
      </c>
      <c r="H126" s="3">
        <v>5212319.8968359996</v>
      </c>
      <c r="I126" s="475"/>
      <c r="M126" s="357" t="s">
        <v>5211</v>
      </c>
      <c r="N126" s="1">
        <v>-28950000</v>
      </c>
      <c r="O126" s="357" t="s">
        <v>4933</v>
      </c>
      <c r="P126" s="357">
        <v>19</v>
      </c>
      <c r="Q126" s="1">
        <v>434.3</v>
      </c>
      <c r="R126" s="1">
        <f t="shared" si="24"/>
        <v>8251.7000000000007</v>
      </c>
      <c r="S126" s="279" t="s">
        <v>422</v>
      </c>
      <c r="AB126" s="356"/>
      <c r="AC126" s="356"/>
      <c r="AD126" t="s">
        <v>25</v>
      </c>
      <c r="AJ126" s="11">
        <v>106</v>
      </c>
      <c r="AK126" s="3" t="s">
        <v>4391</v>
      </c>
      <c r="AL126" s="3">
        <v>101000</v>
      </c>
      <c r="AM126" s="11">
        <v>0</v>
      </c>
      <c r="AN126" s="11">
        <f t="shared" si="25"/>
        <v>1161</v>
      </c>
      <c r="AO126" s="37">
        <f t="shared" si="26"/>
        <v>117261000</v>
      </c>
      <c r="AP126" s="11"/>
      <c r="AS126" t="s">
        <v>25</v>
      </c>
    </row>
    <row r="127" spans="1:45">
      <c r="A127" s="354"/>
      <c r="B127" s="28" t="s">
        <v>6745</v>
      </c>
      <c r="C127" s="28"/>
      <c r="D127" s="11"/>
      <c r="E127" s="317">
        <v>8453570</v>
      </c>
      <c r="F127" s="317">
        <v>28140133</v>
      </c>
      <c r="G127" s="2" t="s">
        <v>5469</v>
      </c>
      <c r="H127" s="3">
        <v>4524496.4792809999</v>
      </c>
      <c r="M127" s="357" t="s">
        <v>5333</v>
      </c>
      <c r="N127" s="1">
        <v>-93000000</v>
      </c>
      <c r="O127" s="357" t="s">
        <v>4935</v>
      </c>
      <c r="P127" s="357">
        <v>16</v>
      </c>
      <c r="Q127" s="1">
        <v>439</v>
      </c>
      <c r="R127" s="1">
        <f t="shared" si="24"/>
        <v>7024</v>
      </c>
      <c r="S127" s="279" t="s">
        <v>422</v>
      </c>
      <c r="AA127" t="s">
        <v>25</v>
      </c>
      <c r="AB127" s="356"/>
      <c r="AC127" s="356"/>
      <c r="AE127" t="s">
        <v>25</v>
      </c>
      <c r="AJ127" s="97">
        <v>107</v>
      </c>
      <c r="AK127" s="131" t="s">
        <v>4452</v>
      </c>
      <c r="AL127" s="131">
        <v>-48200</v>
      </c>
      <c r="AM127" s="97">
        <v>0</v>
      </c>
      <c r="AN127" s="97">
        <f t="shared" ref="AN127:AN177" si="27">AN128+AM127</f>
        <v>1161</v>
      </c>
      <c r="AO127" s="131">
        <f t="shared" si="26"/>
        <v>-55960200</v>
      </c>
      <c r="AP127" s="97" t="s">
        <v>4458</v>
      </c>
    </row>
    <row r="128" spans="1:45" ht="30">
      <c r="A128" s="354"/>
      <c r="B128" s="28" t="s">
        <v>6726</v>
      </c>
      <c r="C128" s="28"/>
      <c r="D128" s="11"/>
      <c r="E128" s="317">
        <v>8482269</v>
      </c>
      <c r="F128" s="317">
        <v>26967121</v>
      </c>
      <c r="G128" s="2" t="s">
        <v>5470</v>
      </c>
      <c r="H128" s="3">
        <v>22866040.240959998</v>
      </c>
      <c r="M128" s="357" t="s">
        <v>5342</v>
      </c>
      <c r="N128" s="1">
        <v>50000000</v>
      </c>
      <c r="O128" s="357" t="s">
        <v>4935</v>
      </c>
      <c r="P128" s="357">
        <v>9191</v>
      </c>
      <c r="Q128" s="1">
        <v>440.24630000000002</v>
      </c>
      <c r="R128" s="1">
        <f t="shared" si="24"/>
        <v>4046303.7433000002</v>
      </c>
      <c r="S128" s="279" t="s">
        <v>4936</v>
      </c>
      <c r="AA128" t="s">
        <v>25</v>
      </c>
      <c r="AB128" s="356"/>
      <c r="AC128" s="356"/>
      <c r="AD128" t="s">
        <v>25</v>
      </c>
      <c r="AJ128" s="63">
        <v>108</v>
      </c>
      <c r="AK128" s="64" t="s">
        <v>4452</v>
      </c>
      <c r="AL128" s="64">
        <v>39327293</v>
      </c>
      <c r="AM128" s="63">
        <v>4</v>
      </c>
      <c r="AN128" s="97">
        <f t="shared" si="27"/>
        <v>1161</v>
      </c>
      <c r="AO128" s="131">
        <f t="shared" si="26"/>
        <v>45658987173</v>
      </c>
      <c r="AP128" s="63" t="s">
        <v>4459</v>
      </c>
    </row>
    <row r="129" spans="1:45">
      <c r="A129" s="354"/>
      <c r="B129" s="28" t="s">
        <v>6725</v>
      </c>
      <c r="C129" s="28"/>
      <c r="D129" s="11"/>
      <c r="E129" s="317">
        <v>8642567</v>
      </c>
      <c r="F129" s="317">
        <v>26783008</v>
      </c>
      <c r="G129" s="2" t="s">
        <v>5471</v>
      </c>
      <c r="H129" s="3">
        <v>15359304.269892</v>
      </c>
      <c r="M129" s="357" t="s">
        <v>4127</v>
      </c>
      <c r="N129" s="1">
        <v>2749471.1668000002</v>
      </c>
      <c r="O129" s="357" t="s">
        <v>4938</v>
      </c>
      <c r="P129" s="357">
        <v>-8792</v>
      </c>
      <c r="Q129" s="1">
        <v>441.90665999999999</v>
      </c>
      <c r="R129" s="1">
        <f t="shared" si="24"/>
        <v>-3885243.3547199997</v>
      </c>
      <c r="S129" s="279" t="s">
        <v>4939</v>
      </c>
      <c r="AB129" s="356"/>
      <c r="AC129" s="356"/>
      <c r="AJ129" s="63">
        <v>109</v>
      </c>
      <c r="AK129" s="64" t="s">
        <v>4473</v>
      </c>
      <c r="AL129" s="64">
        <v>8749050</v>
      </c>
      <c r="AM129" s="63">
        <v>1</v>
      </c>
      <c r="AN129" s="63">
        <f t="shared" si="27"/>
        <v>1157</v>
      </c>
      <c r="AO129" s="64">
        <f t="shared" si="26"/>
        <v>10122650850</v>
      </c>
      <c r="AP129" s="63" t="s">
        <v>4474</v>
      </c>
    </row>
    <row r="130" spans="1:45">
      <c r="A130" s="354"/>
      <c r="B130" s="28" t="s">
        <v>6721</v>
      </c>
      <c r="C130" s="28"/>
      <c r="D130" s="11"/>
      <c r="E130" s="317">
        <v>8644960</v>
      </c>
      <c r="F130" s="317">
        <v>22891512</v>
      </c>
      <c r="G130" s="2" t="s">
        <v>5473</v>
      </c>
      <c r="H130" s="3">
        <v>2868508.1846330003</v>
      </c>
      <c r="M130" s="357" t="s">
        <v>5419</v>
      </c>
      <c r="N130" s="1">
        <v>-680940.07019999996</v>
      </c>
      <c r="O130" s="357" t="s">
        <v>4945</v>
      </c>
      <c r="P130" s="357">
        <v>530</v>
      </c>
      <c r="Q130" s="1">
        <v>472</v>
      </c>
      <c r="R130" s="1">
        <f t="shared" si="24"/>
        <v>250160</v>
      </c>
      <c r="S130" s="279" t="s">
        <v>690</v>
      </c>
      <c r="AB130" s="356"/>
      <c r="AC130" s="356"/>
      <c r="AJ130" s="11">
        <v>110</v>
      </c>
      <c r="AK130" s="3" t="s">
        <v>4475</v>
      </c>
      <c r="AL130" s="3">
        <v>60000</v>
      </c>
      <c r="AM130" s="11">
        <v>1</v>
      </c>
      <c r="AN130" s="11">
        <f t="shared" si="27"/>
        <v>1156</v>
      </c>
      <c r="AO130" s="37">
        <f t="shared" si="26"/>
        <v>69360000</v>
      </c>
      <c r="AP130" s="11" t="s">
        <v>4476</v>
      </c>
    </row>
    <row r="131" spans="1:45">
      <c r="A131" s="354"/>
      <c r="B131" s="28" t="s">
        <v>6719</v>
      </c>
      <c r="C131" s="28"/>
      <c r="D131" s="11"/>
      <c r="E131" s="317">
        <v>8805601</v>
      </c>
      <c r="F131" s="317">
        <v>23027738</v>
      </c>
      <c r="G131" s="2" t="s">
        <v>5474</v>
      </c>
      <c r="H131" s="3">
        <v>17450393.011856001</v>
      </c>
      <c r="M131" s="357" t="s">
        <v>5419</v>
      </c>
      <c r="N131" s="1">
        <v>-48684800.338199995</v>
      </c>
      <c r="O131" s="357" t="s">
        <v>4945</v>
      </c>
      <c r="P131" s="357">
        <v>12</v>
      </c>
      <c r="Q131" s="1">
        <v>481.86</v>
      </c>
      <c r="R131" s="1">
        <f t="shared" si="24"/>
        <v>5782.32</v>
      </c>
      <c r="S131" s="279" t="s">
        <v>4947</v>
      </c>
      <c r="AB131" s="356"/>
      <c r="AC131" s="356"/>
      <c r="AJ131" s="20">
        <v>111</v>
      </c>
      <c r="AK131" s="37" t="s">
        <v>4484</v>
      </c>
      <c r="AL131" s="37">
        <v>4750000</v>
      </c>
      <c r="AM131" s="20">
        <v>0</v>
      </c>
      <c r="AN131" s="11">
        <f t="shared" si="27"/>
        <v>1155</v>
      </c>
      <c r="AO131" s="37">
        <f t="shared" si="26"/>
        <v>5486250000</v>
      </c>
      <c r="AP131" s="20"/>
      <c r="AS131" t="s">
        <v>25</v>
      </c>
    </row>
    <row r="132" spans="1:45">
      <c r="A132" s="354"/>
      <c r="B132" s="28" t="s">
        <v>6701</v>
      </c>
      <c r="C132" s="28"/>
      <c r="D132" s="11"/>
      <c r="E132" s="317">
        <v>8781893</v>
      </c>
      <c r="F132" s="317">
        <v>22935150</v>
      </c>
      <c r="G132" s="2" t="s">
        <v>5475</v>
      </c>
      <c r="H132" s="3">
        <v>31388943.254850004</v>
      </c>
      <c r="M132" s="357" t="s">
        <v>5434</v>
      </c>
      <c r="N132" s="1">
        <v>1500000</v>
      </c>
      <c r="O132" s="357" t="s">
        <v>4971</v>
      </c>
      <c r="P132" s="357">
        <v>846</v>
      </c>
      <c r="Q132" s="1">
        <v>472.7</v>
      </c>
      <c r="R132" s="1">
        <f t="shared" si="24"/>
        <v>399904.2</v>
      </c>
      <c r="S132" s="279" t="s">
        <v>422</v>
      </c>
      <c r="AB132" s="356"/>
      <c r="AC132" s="356"/>
      <c r="AE132" t="s">
        <v>25</v>
      </c>
      <c r="AJ132" s="63">
        <v>112</v>
      </c>
      <c r="AK132" s="64" t="s">
        <v>4484</v>
      </c>
      <c r="AL132" s="64">
        <v>13101160</v>
      </c>
      <c r="AM132" s="63">
        <v>1</v>
      </c>
      <c r="AN132" s="63">
        <f t="shared" si="27"/>
        <v>1155</v>
      </c>
      <c r="AO132" s="64">
        <f t="shared" si="26"/>
        <v>15131839800</v>
      </c>
      <c r="AP132" s="63" t="s">
        <v>4487</v>
      </c>
    </row>
    <row r="133" spans="1:45">
      <c r="A133" s="354"/>
      <c r="B133" s="28" t="s">
        <v>6700</v>
      </c>
      <c r="C133" s="28"/>
      <c r="D133" s="11"/>
      <c r="E133" s="317">
        <v>8795917</v>
      </c>
      <c r="F133" s="317">
        <v>22289254</v>
      </c>
      <c r="G133" s="2" t="s">
        <v>5476</v>
      </c>
      <c r="H133" s="3">
        <v>30912095.373174001</v>
      </c>
      <c r="M133" s="357" t="s">
        <v>900</v>
      </c>
      <c r="N133" s="1">
        <v>11221062</v>
      </c>
      <c r="O133" s="357" t="s">
        <v>4974</v>
      </c>
      <c r="P133" s="357">
        <v>191</v>
      </c>
      <c r="Q133" s="1">
        <v>484.572</v>
      </c>
      <c r="R133" s="1">
        <f t="shared" si="24"/>
        <v>92553.252000000008</v>
      </c>
      <c r="S133" s="279" t="s">
        <v>4975</v>
      </c>
      <c r="AB133" s="356"/>
      <c r="AC133" s="356"/>
      <c r="AJ133" s="20">
        <v>113</v>
      </c>
      <c r="AK133" s="37" t="s">
        <v>4486</v>
      </c>
      <c r="AL133" s="37">
        <v>-980000</v>
      </c>
      <c r="AM133" s="20">
        <v>0</v>
      </c>
      <c r="AN133" s="11">
        <f t="shared" si="27"/>
        <v>1154</v>
      </c>
      <c r="AO133" s="37">
        <f t="shared" si="26"/>
        <v>-1130920000</v>
      </c>
      <c r="AP133" s="20"/>
    </row>
    <row r="134" spans="1:45">
      <c r="A134" s="354"/>
      <c r="B134" s="28" t="s">
        <v>6695</v>
      </c>
      <c r="C134" s="28"/>
      <c r="D134" s="11"/>
      <c r="E134" s="317">
        <v>8867443</v>
      </c>
      <c r="F134" s="317">
        <v>22669798</v>
      </c>
      <c r="G134" s="2" t="s">
        <v>5478</v>
      </c>
      <c r="H134" s="3">
        <v>19602926.115093999</v>
      </c>
      <c r="M134" s="357" t="s">
        <v>5604</v>
      </c>
      <c r="N134" s="1">
        <v>20031495.928431001</v>
      </c>
      <c r="O134" s="357" t="s">
        <v>4974</v>
      </c>
      <c r="P134" s="357">
        <v>-206</v>
      </c>
      <c r="Q134" s="1">
        <v>484.572</v>
      </c>
      <c r="R134" s="1">
        <f t="shared" si="24"/>
        <v>-99821.831999999995</v>
      </c>
      <c r="S134" s="279" t="s">
        <v>4977</v>
      </c>
      <c r="AB134" s="356"/>
      <c r="AC134" s="356"/>
      <c r="AD134" t="s">
        <v>25</v>
      </c>
      <c r="AJ134" s="63">
        <v>114</v>
      </c>
      <c r="AK134" s="64" t="s">
        <v>4486</v>
      </c>
      <c r="AL134" s="64">
        <v>13301790</v>
      </c>
      <c r="AM134" s="63">
        <v>0</v>
      </c>
      <c r="AN134" s="63">
        <f t="shared" si="27"/>
        <v>1154</v>
      </c>
      <c r="AO134" s="64">
        <f t="shared" si="26"/>
        <v>15350265660</v>
      </c>
      <c r="AP134" s="63" t="s">
        <v>4487</v>
      </c>
      <c r="AS134" t="s">
        <v>25</v>
      </c>
    </row>
    <row r="135" spans="1:45">
      <c r="A135" s="354"/>
      <c r="B135" s="28" t="s">
        <v>6686</v>
      </c>
      <c r="C135" s="28"/>
      <c r="D135" s="11"/>
      <c r="E135" s="317">
        <v>8821867</v>
      </c>
      <c r="F135" s="317">
        <v>23080898</v>
      </c>
      <c r="G135" s="2" t="s">
        <v>5479</v>
      </c>
      <c r="H135" s="3">
        <v>34458590.308710001</v>
      </c>
      <c r="M135" s="357" t="s">
        <v>5615</v>
      </c>
      <c r="N135" s="1">
        <v>-154353015.43906799</v>
      </c>
      <c r="O135" s="357" t="s">
        <v>4978</v>
      </c>
      <c r="P135" s="357">
        <v>20685</v>
      </c>
      <c r="Q135" s="1">
        <v>483.43312200000003</v>
      </c>
      <c r="R135" s="1">
        <f t="shared" si="24"/>
        <v>9999814.1285699997</v>
      </c>
      <c r="S135" s="279" t="s">
        <v>4980</v>
      </c>
      <c r="AB135" s="356"/>
      <c r="AC135" s="356"/>
      <c r="AD135" t="s">
        <v>25</v>
      </c>
      <c r="AE135" t="s">
        <v>25</v>
      </c>
      <c r="AJ135" s="20">
        <v>115</v>
      </c>
      <c r="AK135" s="37" t="s">
        <v>4486</v>
      </c>
      <c r="AL135" s="37">
        <v>404000</v>
      </c>
      <c r="AM135" s="20">
        <v>5</v>
      </c>
      <c r="AN135" s="11">
        <f t="shared" si="27"/>
        <v>1154</v>
      </c>
      <c r="AO135" s="37">
        <f t="shared" si="26"/>
        <v>466216000</v>
      </c>
      <c r="AP135" s="20" t="s">
        <v>4493</v>
      </c>
    </row>
    <row r="136" spans="1:45">
      <c r="G136" s="2" t="s">
        <v>5480</v>
      </c>
      <c r="H136" s="3">
        <v>21697868.203256</v>
      </c>
      <c r="M136" s="357" t="s">
        <v>5633</v>
      </c>
      <c r="N136" s="1">
        <v>16643927.89773</v>
      </c>
      <c r="O136" s="357" t="s">
        <v>4978</v>
      </c>
      <c r="P136" s="357">
        <v>-413</v>
      </c>
      <c r="Q136" s="1">
        <v>483.40199999999999</v>
      </c>
      <c r="R136" s="1">
        <f t="shared" si="24"/>
        <v>-199645.02599999998</v>
      </c>
      <c r="S136" s="279" t="s">
        <v>4316</v>
      </c>
      <c r="AB136" s="356"/>
      <c r="AC136" s="356"/>
      <c r="AJ136" s="63">
        <v>116</v>
      </c>
      <c r="AK136" s="64" t="s">
        <v>4499</v>
      </c>
      <c r="AL136" s="64">
        <v>4291628</v>
      </c>
      <c r="AM136" s="63">
        <v>2</v>
      </c>
      <c r="AN136" s="63">
        <f t="shared" si="27"/>
        <v>1149</v>
      </c>
      <c r="AO136" s="64">
        <f t="shared" si="26"/>
        <v>4931080572</v>
      </c>
      <c r="AP136" s="63" t="s">
        <v>4500</v>
      </c>
    </row>
    <row r="137" spans="1:45">
      <c r="G137" s="2" t="s">
        <v>5481</v>
      </c>
      <c r="H137" s="3">
        <v>25340079.252110001</v>
      </c>
      <c r="M137" s="357" t="s">
        <v>5634</v>
      </c>
      <c r="N137" s="1">
        <v>33355467.51292</v>
      </c>
      <c r="O137" s="357" t="s">
        <v>4978</v>
      </c>
      <c r="P137" s="357">
        <v>413</v>
      </c>
      <c r="Q137" s="1">
        <v>483.40199999999999</v>
      </c>
      <c r="R137" s="1">
        <f t="shared" si="24"/>
        <v>199645.02599999998</v>
      </c>
      <c r="S137" s="279" t="s">
        <v>690</v>
      </c>
      <c r="AB137" s="356"/>
      <c r="AC137" s="356"/>
      <c r="AD137" t="s">
        <v>25</v>
      </c>
      <c r="AE137" t="s">
        <v>25</v>
      </c>
      <c r="AJ137" s="20">
        <v>117</v>
      </c>
      <c r="AK137" s="37" t="s">
        <v>4502</v>
      </c>
      <c r="AL137" s="37">
        <v>1000</v>
      </c>
      <c r="AM137" s="20">
        <v>5</v>
      </c>
      <c r="AN137" s="20">
        <f t="shared" si="27"/>
        <v>1147</v>
      </c>
      <c r="AO137" s="37">
        <f t="shared" si="26"/>
        <v>1147000</v>
      </c>
      <c r="AP137" s="20"/>
    </row>
    <row r="138" spans="1:45">
      <c r="G138" s="2" t="s">
        <v>5482</v>
      </c>
      <c r="H138" s="3">
        <v>14780983.183526</v>
      </c>
      <c r="M138" s="357" t="s">
        <v>5984</v>
      </c>
      <c r="N138" s="1">
        <v>30000000</v>
      </c>
      <c r="O138" s="357" t="s">
        <v>4983</v>
      </c>
      <c r="P138" s="357">
        <v>-828</v>
      </c>
      <c r="Q138" s="1">
        <v>483.43312200000003</v>
      </c>
      <c r="R138" s="1">
        <f t="shared" si="24"/>
        <v>-400282.62501600001</v>
      </c>
      <c r="S138" s="279" t="s">
        <v>422</v>
      </c>
      <c r="AB138" s="356"/>
      <c r="AC138" s="356"/>
      <c r="AJ138" s="53">
        <v>118</v>
      </c>
      <c r="AK138" s="54" t="s">
        <v>4509</v>
      </c>
      <c r="AL138" s="54">
        <v>8739459</v>
      </c>
      <c r="AM138" s="53">
        <v>2</v>
      </c>
      <c r="AN138" s="53">
        <f t="shared" si="27"/>
        <v>1142</v>
      </c>
      <c r="AO138" s="54">
        <f t="shared" si="26"/>
        <v>9980462178</v>
      </c>
      <c r="AP138" s="53" t="s">
        <v>4474</v>
      </c>
    </row>
    <row r="139" spans="1:45">
      <c r="G139" s="2" t="s">
        <v>5484</v>
      </c>
      <c r="H139" s="3">
        <v>17804396.448481999</v>
      </c>
      <c r="M139" s="357" t="s">
        <v>5994</v>
      </c>
      <c r="N139" s="1">
        <v>6000000</v>
      </c>
      <c r="O139" s="357" t="s">
        <v>4986</v>
      </c>
      <c r="P139" s="357">
        <v>12</v>
      </c>
      <c r="Q139" s="1">
        <v>473.61898300000001</v>
      </c>
      <c r="R139" s="1">
        <f t="shared" si="24"/>
        <v>5683.4277959999999</v>
      </c>
      <c r="S139" s="279" t="s">
        <v>422</v>
      </c>
      <c r="AB139" s="356"/>
      <c r="AC139" s="356"/>
      <c r="AD139" t="s">
        <v>25</v>
      </c>
      <c r="AE139" t="s">
        <v>25</v>
      </c>
      <c r="AJ139" s="53">
        <v>119</v>
      </c>
      <c r="AK139" s="54" t="s">
        <v>4510</v>
      </c>
      <c r="AL139" s="54">
        <v>17595278</v>
      </c>
      <c r="AM139" s="53">
        <v>1</v>
      </c>
      <c r="AN139" s="53">
        <f t="shared" si="27"/>
        <v>1140</v>
      </c>
      <c r="AO139" s="54">
        <f t="shared" si="26"/>
        <v>20058616920</v>
      </c>
      <c r="AP139" s="53" t="s">
        <v>4512</v>
      </c>
      <c r="AS139" t="s">
        <v>25</v>
      </c>
    </row>
    <row r="140" spans="1:45">
      <c r="G140" s="2" t="s">
        <v>5487</v>
      </c>
      <c r="H140" s="3">
        <v>11538335.631417999</v>
      </c>
      <c r="M140" s="357" t="s">
        <v>6060</v>
      </c>
      <c r="N140" s="1">
        <v>126128.77475900001</v>
      </c>
      <c r="O140" s="357" t="s">
        <v>4989</v>
      </c>
      <c r="P140" s="357">
        <v>963</v>
      </c>
      <c r="Q140" s="1">
        <v>477.92200000000003</v>
      </c>
      <c r="R140" s="1">
        <f t="shared" si="24"/>
        <v>460238.886</v>
      </c>
      <c r="S140" s="279" t="s">
        <v>422</v>
      </c>
      <c r="AB140" s="356"/>
      <c r="AC140" s="356"/>
      <c r="AJ140" s="53">
        <v>120</v>
      </c>
      <c r="AK140" s="54" t="s">
        <v>4511</v>
      </c>
      <c r="AL140" s="54">
        <v>13335309</v>
      </c>
      <c r="AM140" s="53">
        <v>13</v>
      </c>
      <c r="AN140" s="53">
        <f t="shared" si="27"/>
        <v>1139</v>
      </c>
      <c r="AO140" s="54">
        <f t="shared" si="26"/>
        <v>15188916951</v>
      </c>
      <c r="AP140" s="53" t="s">
        <v>4487</v>
      </c>
    </row>
    <row r="141" spans="1:45">
      <c r="G141" s="2" t="s">
        <v>5488</v>
      </c>
      <c r="H141" s="3">
        <v>12429517.767776001</v>
      </c>
      <c r="M141" s="357" t="s">
        <v>6588</v>
      </c>
      <c r="N141" s="1">
        <v>7000000</v>
      </c>
      <c r="O141" s="357" t="s">
        <v>4990</v>
      </c>
      <c r="P141" s="357">
        <v>2815</v>
      </c>
      <c r="Q141" s="1">
        <v>461.79</v>
      </c>
      <c r="R141" s="1">
        <f t="shared" si="24"/>
        <v>1299938.8500000001</v>
      </c>
      <c r="S141" s="279" t="s">
        <v>422</v>
      </c>
      <c r="AB141" s="356"/>
      <c r="AC141" s="356"/>
      <c r="AD141" t="s">
        <v>25</v>
      </c>
      <c r="AJ141" s="109">
        <v>121</v>
      </c>
      <c r="AK141" s="152" t="s">
        <v>4558</v>
      </c>
      <c r="AL141" s="152">
        <v>50000000</v>
      </c>
      <c r="AM141" s="109">
        <v>11</v>
      </c>
      <c r="AN141" s="109">
        <f t="shared" si="27"/>
        <v>1126</v>
      </c>
      <c r="AO141" s="152">
        <f t="shared" si="26"/>
        <v>56300000000</v>
      </c>
      <c r="AP141" s="109" t="s">
        <v>4559</v>
      </c>
      <c r="AR141" t="s">
        <v>25</v>
      </c>
    </row>
    <row r="142" spans="1:45">
      <c r="E142" t="s">
        <v>25</v>
      </c>
      <c r="G142" s="2" t="s">
        <v>5496</v>
      </c>
      <c r="H142" s="3">
        <v>5031176.5087869996</v>
      </c>
      <c r="M142" s="357" t="s">
        <v>6653</v>
      </c>
      <c r="N142" s="1">
        <v>-450269000</v>
      </c>
      <c r="O142" s="357" t="s">
        <v>4990</v>
      </c>
      <c r="P142" s="357">
        <v>1581</v>
      </c>
      <c r="Q142" s="1">
        <v>461.79</v>
      </c>
      <c r="R142" s="1">
        <f t="shared" si="24"/>
        <v>730089.99</v>
      </c>
      <c r="S142" s="279" t="s">
        <v>422</v>
      </c>
      <c r="AB142" s="356"/>
      <c r="AC142" s="356"/>
      <c r="AE142" t="s">
        <v>25</v>
      </c>
      <c r="AJ142" s="20">
        <v>122</v>
      </c>
      <c r="AK142" s="37" t="s">
        <v>894</v>
      </c>
      <c r="AL142" s="37">
        <v>30000</v>
      </c>
      <c r="AM142" s="20">
        <v>3</v>
      </c>
      <c r="AN142" s="20">
        <f t="shared" si="27"/>
        <v>1115</v>
      </c>
      <c r="AO142" s="37">
        <f t="shared" si="26"/>
        <v>33450000</v>
      </c>
      <c r="AP142" s="20"/>
    </row>
    <row r="143" spans="1:45">
      <c r="D143" t="s">
        <v>25</v>
      </c>
      <c r="G143" s="2" t="s">
        <v>5498</v>
      </c>
      <c r="H143" s="3">
        <v>6822803.9080700008</v>
      </c>
      <c r="M143" s="357" t="s">
        <v>6661</v>
      </c>
      <c r="N143" s="1">
        <v>50000000</v>
      </c>
      <c r="O143" s="357" t="s">
        <v>912</v>
      </c>
      <c r="P143" s="357">
        <v>41</v>
      </c>
      <c r="Q143" s="1">
        <v>514.48099999999999</v>
      </c>
      <c r="R143" s="1">
        <f t="shared" si="24"/>
        <v>21093.721000000001</v>
      </c>
      <c r="S143" s="279" t="s">
        <v>4975</v>
      </c>
      <c r="AA143" t="s">
        <v>25</v>
      </c>
      <c r="AB143" s="356"/>
      <c r="AC143" s="356"/>
      <c r="AJ143" s="20">
        <v>123</v>
      </c>
      <c r="AK143" s="37" t="s">
        <v>4613</v>
      </c>
      <c r="AL143" s="37">
        <v>600000</v>
      </c>
      <c r="AM143" s="20">
        <v>1</v>
      </c>
      <c r="AN143" s="20">
        <f t="shared" si="27"/>
        <v>1112</v>
      </c>
      <c r="AO143" s="37">
        <f t="shared" si="26"/>
        <v>667200000</v>
      </c>
      <c r="AP143" s="20"/>
    </row>
    <row r="144" spans="1:45">
      <c r="G144" s="2" t="s">
        <v>5502</v>
      </c>
      <c r="H144" s="3">
        <v>330889.73324399994</v>
      </c>
      <c r="M144" s="357" t="s">
        <v>6667</v>
      </c>
      <c r="N144" s="1">
        <v>50000000</v>
      </c>
      <c r="O144" s="357" t="s">
        <v>4171</v>
      </c>
      <c r="P144" s="357">
        <v>71</v>
      </c>
      <c r="Q144" s="1">
        <v>482.57</v>
      </c>
      <c r="R144" s="1">
        <f t="shared" si="24"/>
        <v>34262.47</v>
      </c>
      <c r="S144" s="279" t="s">
        <v>4975</v>
      </c>
      <c r="AB144" t="s">
        <v>25</v>
      </c>
      <c r="AE144" t="s">
        <v>25</v>
      </c>
      <c r="AJ144" s="20">
        <v>124</v>
      </c>
      <c r="AK144" s="37" t="s">
        <v>4616</v>
      </c>
      <c r="AL144" s="37">
        <v>30000</v>
      </c>
      <c r="AM144" s="20">
        <v>3</v>
      </c>
      <c r="AN144" s="20">
        <f t="shared" si="27"/>
        <v>1111</v>
      </c>
      <c r="AO144" s="37">
        <f t="shared" si="26"/>
        <v>33330000</v>
      </c>
      <c r="AP144" s="20"/>
    </row>
    <row r="145" spans="1:46">
      <c r="D145" t="s">
        <v>25</v>
      </c>
      <c r="G145" s="2" t="s">
        <v>5510</v>
      </c>
      <c r="H145" s="3">
        <v>6610318.1610199995</v>
      </c>
      <c r="M145" s="357" t="s">
        <v>6668</v>
      </c>
      <c r="N145" s="1">
        <v>50000000</v>
      </c>
      <c r="O145" s="357" t="s">
        <v>5010</v>
      </c>
      <c r="P145" s="357">
        <v>-250</v>
      </c>
      <c r="Q145" s="1">
        <v>487.125</v>
      </c>
      <c r="R145" s="1">
        <f t="shared" si="24"/>
        <v>-121781.25</v>
      </c>
      <c r="S145" s="279" t="s">
        <v>4316</v>
      </c>
      <c r="AB145" t="s">
        <v>25</v>
      </c>
      <c r="AC145" t="s">
        <v>25</v>
      </c>
      <c r="AD145" t="s">
        <v>25</v>
      </c>
      <c r="AE145" t="s">
        <v>25</v>
      </c>
      <c r="AJ145" s="20">
        <v>125</v>
      </c>
      <c r="AK145" s="37" t="s">
        <v>4622</v>
      </c>
      <c r="AL145" s="37">
        <v>2250000</v>
      </c>
      <c r="AM145" s="20">
        <v>1</v>
      </c>
      <c r="AN145" s="20">
        <f t="shared" si="27"/>
        <v>1108</v>
      </c>
      <c r="AO145" s="37">
        <f>AL145*AN145</f>
        <v>2493000000</v>
      </c>
      <c r="AP145" s="20"/>
      <c r="AT145" t="s">
        <v>25</v>
      </c>
    </row>
    <row r="146" spans="1:46" ht="18.75">
      <c r="A146" s="490" t="s">
        <v>4134</v>
      </c>
      <c r="B146" s="491">
        <f>C2+C9+C27+C19+C36</f>
        <v>11604942</v>
      </c>
      <c r="C146" s="493">
        <f>B146*D36</f>
        <v>23569637202</v>
      </c>
      <c r="D146" s="538">
        <f t="shared" ref="D146:D154" si="28">C146/$C$160</f>
        <v>0.89263145547589151</v>
      </c>
      <c r="E146" s="492"/>
      <c r="G146" s="2" t="s">
        <v>5511</v>
      </c>
      <c r="H146" s="3">
        <v>710713.17725199996</v>
      </c>
      <c r="M146" s="357" t="s">
        <v>6669</v>
      </c>
      <c r="N146" s="1">
        <v>50000000</v>
      </c>
      <c r="O146" s="357" t="s">
        <v>5010</v>
      </c>
      <c r="P146" s="357">
        <v>250</v>
      </c>
      <c r="Q146" s="1">
        <v>487.125</v>
      </c>
      <c r="R146" s="1">
        <f t="shared" si="24"/>
        <v>121781.25</v>
      </c>
      <c r="S146" s="279" t="s">
        <v>690</v>
      </c>
      <c r="AB146" t="s">
        <v>25</v>
      </c>
      <c r="AC146" t="s">
        <v>25</v>
      </c>
      <c r="AJ146" s="23">
        <v>126</v>
      </c>
      <c r="AK146" s="31" t="s">
        <v>4627</v>
      </c>
      <c r="AL146" s="31">
        <v>-31412200</v>
      </c>
      <c r="AM146" s="23">
        <v>1</v>
      </c>
      <c r="AN146" s="20">
        <f t="shared" si="27"/>
        <v>1107</v>
      </c>
      <c r="AO146" s="31">
        <f>AL146*AN146</f>
        <v>-34773305400</v>
      </c>
      <c r="AP146" s="23" t="s">
        <v>4615</v>
      </c>
    </row>
    <row r="147" spans="1:46" ht="18.75">
      <c r="A147" s="490" t="s">
        <v>5139</v>
      </c>
      <c r="B147" s="491">
        <f>C3+C10+C28+C20+C37</f>
        <v>10</v>
      </c>
      <c r="C147" s="493">
        <f>B147*D37</f>
        <v>8564.6511627906966</v>
      </c>
      <c r="D147" s="538">
        <f t="shared" si="28"/>
        <v>3.2436125204491579E-7</v>
      </c>
      <c r="E147" s="492"/>
      <c r="G147" s="2" t="s">
        <v>5512</v>
      </c>
      <c r="H147" s="3">
        <v>81025</v>
      </c>
      <c r="M147" s="357" t="s">
        <v>6670</v>
      </c>
      <c r="N147" s="1">
        <v>100000000</v>
      </c>
      <c r="O147" s="357" t="s">
        <v>5018</v>
      </c>
      <c r="P147" s="357">
        <v>-1439</v>
      </c>
      <c r="Q147" s="1">
        <v>486.53068999999999</v>
      </c>
      <c r="R147" s="1">
        <f t="shared" si="24"/>
        <v>-700117.66290999996</v>
      </c>
      <c r="S147" s="279" t="s">
        <v>4316</v>
      </c>
      <c r="AB147" t="s">
        <v>25</v>
      </c>
      <c r="AC147" t="s">
        <v>25</v>
      </c>
      <c r="AE147" t="s">
        <v>25</v>
      </c>
      <c r="AJ147" s="20">
        <v>127</v>
      </c>
      <c r="AK147" s="37" t="s">
        <v>4636</v>
      </c>
      <c r="AL147" s="37">
        <v>70000</v>
      </c>
      <c r="AM147" s="20">
        <v>9</v>
      </c>
      <c r="AN147" s="20">
        <f t="shared" si="27"/>
        <v>1106</v>
      </c>
      <c r="AO147" s="37">
        <f>AL147*AN147</f>
        <v>77420000</v>
      </c>
      <c r="AP147" s="20"/>
    </row>
    <row r="148" spans="1:46" ht="18.75">
      <c r="A148" s="490" t="s">
        <v>4542</v>
      </c>
      <c r="B148" s="491">
        <f>C38+C11+C33</f>
        <v>832000</v>
      </c>
      <c r="C148" s="493">
        <f>B148*D38</f>
        <v>467584000</v>
      </c>
      <c r="D148" s="538">
        <f t="shared" si="28"/>
        <v>1.7708384006938489E-2</v>
      </c>
      <c r="E148" s="492"/>
      <c r="G148" s="2" t="s">
        <v>5515</v>
      </c>
      <c r="H148" s="3">
        <v>219696.613128</v>
      </c>
      <c r="M148" s="357" t="s">
        <v>6672</v>
      </c>
      <c r="N148" s="1">
        <v>50000000</v>
      </c>
      <c r="O148" s="357" t="s">
        <v>5018</v>
      </c>
      <c r="P148" s="357">
        <v>411</v>
      </c>
      <c r="Q148" s="1">
        <v>486.53068999999999</v>
      </c>
      <c r="R148" s="1">
        <f t="shared" si="24"/>
        <v>199964.11358999999</v>
      </c>
      <c r="S148" s="279" t="s">
        <v>690</v>
      </c>
      <c r="AC148" t="s">
        <v>25</v>
      </c>
      <c r="AD148" t="s">
        <v>25</v>
      </c>
      <c r="AJ148" s="11">
        <v>128</v>
      </c>
      <c r="AK148" s="3" t="s">
        <v>4642</v>
      </c>
      <c r="AL148" s="3">
        <v>20000</v>
      </c>
      <c r="AM148" s="11">
        <v>10</v>
      </c>
      <c r="AN148" s="20">
        <f t="shared" si="27"/>
        <v>1097</v>
      </c>
      <c r="AO148" s="37">
        <f>AL148*AN148</f>
        <v>21940000</v>
      </c>
      <c r="AP148" s="20"/>
      <c r="AR148" t="s">
        <v>25</v>
      </c>
    </row>
    <row r="149" spans="1:46" ht="18.75">
      <c r="A149" s="490" t="s">
        <v>4716</v>
      </c>
      <c r="B149" s="491">
        <f>C12</f>
        <v>6582</v>
      </c>
      <c r="C149" s="493">
        <f>B149*D12</f>
        <v>107931636</v>
      </c>
      <c r="D149" s="538">
        <f t="shared" si="28"/>
        <v>4.0875967885665599E-3</v>
      </c>
      <c r="E149" s="492"/>
      <c r="G149" s="2" t="s">
        <v>5516</v>
      </c>
      <c r="H149" s="3">
        <v>6035472.4070199998</v>
      </c>
      <c r="M149" s="357" t="s">
        <v>6674</v>
      </c>
      <c r="N149" s="1">
        <v>11300000</v>
      </c>
      <c r="O149" s="357" t="s">
        <v>4988</v>
      </c>
      <c r="P149" s="357">
        <v>-4290</v>
      </c>
      <c r="Q149" s="1">
        <v>497.57670000000002</v>
      </c>
      <c r="R149" s="1">
        <f t="shared" si="24"/>
        <v>-2134604.0430000001</v>
      </c>
      <c r="S149" s="279" t="s">
        <v>422</v>
      </c>
      <c r="AA149" t="s">
        <v>25</v>
      </c>
      <c r="AB149" s="383" t="s">
        <v>25</v>
      </c>
      <c r="AC149" t="s">
        <v>25</v>
      </c>
      <c r="AJ149" s="11">
        <v>129</v>
      </c>
      <c r="AK149" s="3" t="s">
        <v>4661</v>
      </c>
      <c r="AL149" s="3">
        <v>1000000</v>
      </c>
      <c r="AM149" s="11">
        <v>1</v>
      </c>
      <c r="AN149" s="20">
        <f t="shared" si="27"/>
        <v>1087</v>
      </c>
      <c r="AO149" s="37">
        <f>AL149*AN149</f>
        <v>1087000000</v>
      </c>
      <c r="AP149" s="20"/>
    </row>
    <row r="150" spans="1:46" ht="18.75">
      <c r="A150" s="490" t="s">
        <v>6918</v>
      </c>
      <c r="B150" s="491">
        <f>C50+C51</f>
        <v>1661000</v>
      </c>
      <c r="C150" s="493">
        <f>B150*D50</f>
        <v>664400000</v>
      </c>
      <c r="D150" s="538">
        <f t="shared" si="28"/>
        <v>2.5162217557080507E-2</v>
      </c>
      <c r="E150" s="492"/>
      <c r="G150" s="2" t="s">
        <v>5517</v>
      </c>
      <c r="H150" s="3">
        <v>984486.34963200008</v>
      </c>
      <c r="M150" s="357" t="s">
        <v>6674</v>
      </c>
      <c r="N150" s="1">
        <v>65111600</v>
      </c>
      <c r="O150" s="357" t="s">
        <v>5025</v>
      </c>
      <c r="P150" s="357">
        <v>-644</v>
      </c>
      <c r="Q150" s="1">
        <v>494.76464499999997</v>
      </c>
      <c r="R150" s="1">
        <f t="shared" si="24"/>
        <v>-318628.43137999997</v>
      </c>
      <c r="S150" s="279" t="s">
        <v>422</v>
      </c>
      <c r="AB150" s="383"/>
      <c r="AC150" t="s">
        <v>25</v>
      </c>
      <c r="AE150" s="7" t="s">
        <v>25</v>
      </c>
      <c r="AF150" s="7"/>
      <c r="AJ150" s="11">
        <v>130</v>
      </c>
      <c r="AK150" s="3" t="s">
        <v>4662</v>
      </c>
      <c r="AL150" s="3">
        <v>65630227</v>
      </c>
      <c r="AM150" s="11">
        <v>0</v>
      </c>
      <c r="AN150" s="20">
        <f t="shared" si="27"/>
        <v>1086</v>
      </c>
      <c r="AO150" s="37">
        <f t="shared" ref="AO150:AO177" si="29">AL150*AN150</f>
        <v>71274426522</v>
      </c>
      <c r="AP150" s="20" t="s">
        <v>4665</v>
      </c>
      <c r="AR150" t="s">
        <v>25</v>
      </c>
      <c r="AT150" t="s">
        <v>25</v>
      </c>
    </row>
    <row r="151" spans="1:46" ht="18.75">
      <c r="A151" s="490" t="s">
        <v>6919</v>
      </c>
      <c r="B151" s="491">
        <f>C40+C41+C42</f>
        <v>696000</v>
      </c>
      <c r="C151" s="493">
        <f>B151*D40</f>
        <v>1577832000</v>
      </c>
      <c r="D151" s="538">
        <f t="shared" si="28"/>
        <v>5.9755797791275517E-2</v>
      </c>
      <c r="E151" s="492"/>
      <c r="F151" s="563"/>
      <c r="G151" s="2" t="s">
        <v>5518</v>
      </c>
      <c r="H151" s="3">
        <v>2143469.938015</v>
      </c>
      <c r="M151" s="357" t="s">
        <v>6678</v>
      </c>
      <c r="N151" s="1">
        <v>25000000</v>
      </c>
      <c r="O151" s="357" t="s">
        <v>5028</v>
      </c>
      <c r="P151" s="357">
        <v>-112</v>
      </c>
      <c r="Q151" s="1">
        <v>485.78</v>
      </c>
      <c r="R151" s="1">
        <f t="shared" si="24"/>
        <v>-54407.360000000001</v>
      </c>
      <c r="S151" s="279" t="s">
        <v>422</v>
      </c>
      <c r="AB151" s="383"/>
      <c r="AC151" t="s">
        <v>25</v>
      </c>
      <c r="AD151" t="s">
        <v>25</v>
      </c>
      <c r="AE151" s="7"/>
      <c r="AJ151" s="11">
        <v>131</v>
      </c>
      <c r="AK151" s="3" t="s">
        <v>4662</v>
      </c>
      <c r="AL151" s="3">
        <v>-3500000</v>
      </c>
      <c r="AM151" s="11">
        <v>6</v>
      </c>
      <c r="AN151" s="20">
        <f t="shared" si="27"/>
        <v>1086</v>
      </c>
      <c r="AO151" s="37">
        <f t="shared" si="29"/>
        <v>-3801000000</v>
      </c>
      <c r="AP151" s="20" t="s">
        <v>4664</v>
      </c>
    </row>
    <row r="152" spans="1:46" ht="18.75">
      <c r="A152" s="490" t="s">
        <v>5594</v>
      </c>
      <c r="B152" s="491">
        <f>C4+C13+C29+C21+C43</f>
        <v>0</v>
      </c>
      <c r="C152" s="493">
        <f>B152*D43</f>
        <v>0</v>
      </c>
      <c r="D152" s="538">
        <f t="shared" si="28"/>
        <v>0</v>
      </c>
      <c r="E152" s="492"/>
      <c r="G152" s="2" t="s">
        <v>5528</v>
      </c>
      <c r="H152" s="3">
        <v>3085460.5177150001</v>
      </c>
      <c r="M152" s="357" t="s">
        <v>6702</v>
      </c>
      <c r="N152" s="1">
        <v>-35640108.705879003</v>
      </c>
      <c r="O152" s="357" t="s">
        <v>5028</v>
      </c>
      <c r="P152" s="357">
        <v>123</v>
      </c>
      <c r="Q152" s="1">
        <v>485.78</v>
      </c>
      <c r="R152" s="1">
        <f t="shared" si="24"/>
        <v>59750.939999999995</v>
      </c>
      <c r="S152" s="279" t="s">
        <v>690</v>
      </c>
      <c r="AB152" s="383"/>
      <c r="AC152" t="s">
        <v>25</v>
      </c>
      <c r="AD152" t="s">
        <v>25</v>
      </c>
      <c r="AE152" s="7" t="s">
        <v>25</v>
      </c>
      <c r="AF152" s="7"/>
      <c r="AJ152" s="11">
        <v>132</v>
      </c>
      <c r="AK152" s="3" t="s">
        <v>4674</v>
      </c>
      <c r="AL152" s="3">
        <v>2520000</v>
      </c>
      <c r="AM152" s="11">
        <v>12</v>
      </c>
      <c r="AN152" s="20">
        <f t="shared" si="27"/>
        <v>1080</v>
      </c>
      <c r="AO152" s="37">
        <f t="shared" si="29"/>
        <v>2721600000</v>
      </c>
      <c r="AP152" s="20"/>
    </row>
    <row r="153" spans="1:46" ht="18.75">
      <c r="A153" s="490">
        <v>1220</v>
      </c>
      <c r="B153" s="491">
        <f>C5+C14+C30+C22+C44</f>
        <v>0</v>
      </c>
      <c r="C153" s="493">
        <f>B153*D44</f>
        <v>0</v>
      </c>
      <c r="D153" s="538">
        <f t="shared" si="28"/>
        <v>0</v>
      </c>
      <c r="E153" s="492"/>
      <c r="G153" s="2" t="s">
        <v>5529</v>
      </c>
      <c r="H153" s="3">
        <v>8261456.790906</v>
      </c>
      <c r="M153" s="357"/>
      <c r="N153" s="1"/>
      <c r="O153" s="357" t="s">
        <v>5028</v>
      </c>
      <c r="P153" s="357">
        <v>-123</v>
      </c>
      <c r="Q153" s="1">
        <v>485.78</v>
      </c>
      <c r="R153" s="1">
        <f t="shared" si="24"/>
        <v>-59750.939999999995</v>
      </c>
      <c r="S153" s="279" t="s">
        <v>4316</v>
      </c>
      <c r="AB153" s="383"/>
      <c r="AC153" t="s">
        <v>25</v>
      </c>
      <c r="AD153" t="s">
        <v>25</v>
      </c>
      <c r="AE153" t="s">
        <v>25</v>
      </c>
      <c r="AJ153" s="11">
        <v>133</v>
      </c>
      <c r="AK153" s="3" t="s">
        <v>4709</v>
      </c>
      <c r="AL153" s="3">
        <v>1400000</v>
      </c>
      <c r="AM153" s="11">
        <v>4</v>
      </c>
      <c r="AN153" s="20">
        <f t="shared" si="27"/>
        <v>1068</v>
      </c>
      <c r="AO153" s="37">
        <f t="shared" si="29"/>
        <v>1495200000</v>
      </c>
      <c r="AP153" s="20"/>
    </row>
    <row r="154" spans="1:46" ht="18.75">
      <c r="A154" s="490">
        <v>6014</v>
      </c>
      <c r="B154" s="491">
        <f>C15+C31+C6+C45+C23</f>
        <v>0</v>
      </c>
      <c r="C154" s="493">
        <f>B154*D15</f>
        <v>0</v>
      </c>
      <c r="D154" s="538">
        <f t="shared" si="28"/>
        <v>0</v>
      </c>
      <c r="E154" s="492"/>
      <c r="F154" s="517"/>
      <c r="G154" s="2" t="s">
        <v>5530</v>
      </c>
      <c r="H154" s="3">
        <v>6572373.7593120001</v>
      </c>
      <c r="M154" s="357"/>
      <c r="N154" s="1"/>
      <c r="O154" s="357" t="s">
        <v>5071</v>
      </c>
      <c r="P154" s="357">
        <v>32367</v>
      </c>
      <c r="Q154" s="1">
        <v>556.12900000000002</v>
      </c>
      <c r="R154" s="1">
        <f t="shared" si="24"/>
        <v>18000227.343000002</v>
      </c>
      <c r="S154" s="279" t="s">
        <v>422</v>
      </c>
      <c r="AB154" s="383"/>
      <c r="AD154" t="s">
        <v>25</v>
      </c>
      <c r="AJ154" s="11">
        <v>134</v>
      </c>
      <c r="AK154" s="3" t="s">
        <v>4724</v>
      </c>
      <c r="AL154" s="3">
        <v>1550000</v>
      </c>
      <c r="AM154" s="11">
        <v>2</v>
      </c>
      <c r="AN154" s="20">
        <f t="shared" si="27"/>
        <v>1064</v>
      </c>
      <c r="AO154" s="37">
        <f t="shared" si="29"/>
        <v>1649200000</v>
      </c>
      <c r="AP154" s="20"/>
    </row>
    <row r="155" spans="1:46" ht="18.75">
      <c r="A155" s="490">
        <v>5007</v>
      </c>
      <c r="B155" s="491">
        <f>C46</f>
        <v>50000</v>
      </c>
      <c r="C155" s="493">
        <f>B155*D46</f>
        <v>6550000</v>
      </c>
      <c r="D155" s="538"/>
      <c r="E155" s="492"/>
      <c r="F155" s="517"/>
      <c r="G155" s="2" t="s">
        <v>5534</v>
      </c>
      <c r="H155" s="3">
        <v>2893243.5730909999</v>
      </c>
      <c r="M155" s="357" t="s">
        <v>25</v>
      </c>
      <c r="N155" s="1"/>
      <c r="O155" s="357" t="s">
        <v>5087</v>
      </c>
      <c r="P155" s="357">
        <v>1254</v>
      </c>
      <c r="Q155" s="1">
        <v>558.24400000000003</v>
      </c>
      <c r="R155" s="1">
        <f t="shared" si="24"/>
        <v>700037.97600000002</v>
      </c>
      <c r="S155" s="279" t="s">
        <v>4316</v>
      </c>
      <c r="AB155" s="383"/>
      <c r="AC155" t="s">
        <v>25</v>
      </c>
      <c r="AD155" t="s">
        <v>25</v>
      </c>
      <c r="AJ155" s="11">
        <v>135</v>
      </c>
      <c r="AK155" s="3" t="s">
        <v>4681</v>
      </c>
      <c r="AL155" s="3">
        <v>250000</v>
      </c>
      <c r="AM155" s="11">
        <v>6</v>
      </c>
      <c r="AN155" s="20">
        <f t="shared" si="27"/>
        <v>1062</v>
      </c>
      <c r="AO155" s="37">
        <f t="shared" si="29"/>
        <v>265500000</v>
      </c>
      <c r="AP155" s="20"/>
    </row>
    <row r="156" spans="1:46" ht="18.75">
      <c r="A156" s="490">
        <v>5006</v>
      </c>
      <c r="B156" s="491">
        <f>C47+C32+C16</f>
        <v>0</v>
      </c>
      <c r="C156" s="493">
        <f>B156*D47</f>
        <v>0</v>
      </c>
      <c r="D156" s="538">
        <f>C156/$C$160</f>
        <v>0</v>
      </c>
      <c r="E156" s="492"/>
      <c r="F156" s="517"/>
      <c r="G156" s="2" t="s">
        <v>5535</v>
      </c>
      <c r="H156" s="3">
        <v>94992058.939007998</v>
      </c>
      <c r="M156" s="357"/>
      <c r="N156" s="1">
        <f>SUM(N83:N155)</f>
        <v>124345113.72729298</v>
      </c>
      <c r="O156" s="357" t="s">
        <v>5087</v>
      </c>
      <c r="P156" s="357">
        <v>-358</v>
      </c>
      <c r="Q156" s="1">
        <v>558.24400000000003</v>
      </c>
      <c r="R156" s="1">
        <f t="shared" si="24"/>
        <v>-199851.35200000001</v>
      </c>
      <c r="S156" s="279" t="s">
        <v>690</v>
      </c>
      <c r="AB156" s="383"/>
      <c r="AJ156" s="11">
        <v>136</v>
      </c>
      <c r="AK156" s="3" t="s">
        <v>4731</v>
      </c>
      <c r="AL156" s="3">
        <v>-48527480</v>
      </c>
      <c r="AM156" s="11">
        <v>14</v>
      </c>
      <c r="AN156" s="20">
        <f t="shared" si="27"/>
        <v>1056</v>
      </c>
      <c r="AO156" s="37">
        <f t="shared" si="29"/>
        <v>-51245018880</v>
      </c>
      <c r="AP156" s="20" t="s">
        <v>4733</v>
      </c>
    </row>
    <row r="157" spans="1:46" ht="18.75">
      <c r="A157" s="490">
        <v>5004</v>
      </c>
      <c r="B157" s="491">
        <f>C48</f>
        <v>0</v>
      </c>
      <c r="C157" s="493">
        <f>B157*D48</f>
        <v>0</v>
      </c>
      <c r="D157" s="538">
        <f>C157/$C$160</f>
        <v>0</v>
      </c>
      <c r="E157" s="492"/>
      <c r="F157" s="537"/>
      <c r="G157" s="2" t="s">
        <v>5537</v>
      </c>
      <c r="H157" s="3">
        <v>275021.925965</v>
      </c>
      <c r="M157" s="35"/>
      <c r="N157" s="357" t="s">
        <v>6</v>
      </c>
      <c r="O157" s="189" t="s">
        <v>5106</v>
      </c>
      <c r="P157" s="189">
        <v>63259</v>
      </c>
      <c r="Q157" s="190">
        <v>632.31960000000004</v>
      </c>
      <c r="R157" s="190">
        <f t="shared" si="24"/>
        <v>39999905.576400004</v>
      </c>
      <c r="S157" s="394" t="s">
        <v>1005</v>
      </c>
      <c r="AB157" s="383"/>
      <c r="AJ157" s="11">
        <v>137</v>
      </c>
      <c r="AK157" s="3" t="s">
        <v>4752</v>
      </c>
      <c r="AL157" s="3">
        <v>2100000</v>
      </c>
      <c r="AM157" s="11">
        <v>1</v>
      </c>
      <c r="AN157" s="20">
        <f t="shared" si="27"/>
        <v>1042</v>
      </c>
      <c r="AO157" s="37">
        <f t="shared" si="29"/>
        <v>2188200000</v>
      </c>
      <c r="AP157" s="20"/>
    </row>
    <row r="158" spans="1:46" ht="18.75">
      <c r="A158" s="490" t="s">
        <v>6917</v>
      </c>
      <c r="B158" s="516">
        <f>B1+B8+B26+B18+B35</f>
        <v>10724568</v>
      </c>
      <c r="C158" s="516">
        <f>B158</f>
        <v>10724568</v>
      </c>
      <c r="D158" s="538">
        <f>C158/$C$160</f>
        <v>4.0616182002062583E-4</v>
      </c>
      <c r="E158" s="492"/>
      <c r="F158" s="560"/>
      <c r="G158" s="2" t="s">
        <v>5541</v>
      </c>
      <c r="H158" s="3">
        <v>327451.9203</v>
      </c>
      <c r="M158" s="35"/>
      <c r="N158" s="35" t="s">
        <v>25</v>
      </c>
      <c r="O158" s="370" t="s">
        <v>5110</v>
      </c>
      <c r="P158" s="370">
        <v>-1278</v>
      </c>
      <c r="Q158" s="18">
        <v>625.98</v>
      </c>
      <c r="R158" s="18">
        <f t="shared" si="24"/>
        <v>-800002.44000000006</v>
      </c>
      <c r="S158" s="395" t="s">
        <v>5111</v>
      </c>
      <c r="AB158" s="383"/>
      <c r="AE158" t="s">
        <v>25</v>
      </c>
      <c r="AJ158" s="11">
        <v>138</v>
      </c>
      <c r="AK158" s="3" t="s">
        <v>4755</v>
      </c>
      <c r="AL158" s="3">
        <v>100000</v>
      </c>
      <c r="AM158" s="11">
        <v>4</v>
      </c>
      <c r="AN158" s="20">
        <f>AN159+AM158</f>
        <v>1041</v>
      </c>
      <c r="AO158" s="37">
        <f t="shared" si="29"/>
        <v>104100000</v>
      </c>
      <c r="AP158" s="20"/>
    </row>
    <row r="159" spans="1:46" ht="18.75">
      <c r="A159" s="490"/>
      <c r="B159" s="490"/>
      <c r="C159" s="490"/>
      <c r="D159" s="538"/>
      <c r="E159" s="490"/>
      <c r="F159" s="517" t="s">
        <v>25</v>
      </c>
      <c r="G159" s="2" t="s">
        <v>5547</v>
      </c>
      <c r="H159" s="3">
        <v>260081.94096800001</v>
      </c>
      <c r="M159" s="357" t="s">
        <v>422</v>
      </c>
      <c r="N159" s="35"/>
      <c r="O159" s="370" t="s">
        <v>5115</v>
      </c>
      <c r="P159" s="370">
        <v>32049</v>
      </c>
      <c r="Q159" s="18">
        <v>624.04600000000005</v>
      </c>
      <c r="R159" s="18">
        <f t="shared" si="24"/>
        <v>20000050.254000001</v>
      </c>
      <c r="S159" s="395" t="s">
        <v>4980</v>
      </c>
      <c r="AB159" s="383"/>
      <c r="AC159" t="s">
        <v>25</v>
      </c>
      <c r="AJ159" s="11">
        <v>139</v>
      </c>
      <c r="AK159" s="3" t="s">
        <v>4760</v>
      </c>
      <c r="AL159" s="3">
        <v>900000</v>
      </c>
      <c r="AM159" s="11">
        <v>0</v>
      </c>
      <c r="AN159" s="20">
        <f t="shared" ref="AN159:AN168" si="30">AN160+AM159</f>
        <v>1037</v>
      </c>
      <c r="AO159" s="37">
        <f t="shared" ref="AO159:AO168" si="31">AL159*AN159</f>
        <v>933300000</v>
      </c>
      <c r="AP159" s="20"/>
      <c r="AR159" t="s">
        <v>25</v>
      </c>
    </row>
    <row r="160" spans="1:46" ht="18.75">
      <c r="A160" s="490" t="s">
        <v>4780</v>
      </c>
      <c r="B160" s="490"/>
      <c r="C160" s="516">
        <f>SUM(C146:C158)</f>
        <v>26404667970.651161</v>
      </c>
      <c r="D160" s="538">
        <f>C160/$C$160</f>
        <v>1</v>
      </c>
      <c r="E160" s="492"/>
      <c r="F160" s="558"/>
      <c r="G160" s="2" t="s">
        <v>5554</v>
      </c>
      <c r="H160" s="3">
        <v>2909284.5308940001</v>
      </c>
      <c r="M160" s="357" t="s">
        <v>4310</v>
      </c>
      <c r="N160" s="357"/>
      <c r="O160" s="370" t="s">
        <v>5122</v>
      </c>
      <c r="P160" s="370">
        <v>45094</v>
      </c>
      <c r="Q160" s="18">
        <v>614.13559759999998</v>
      </c>
      <c r="R160" s="18">
        <f t="shared" si="24"/>
        <v>27693830.6381744</v>
      </c>
      <c r="S160" s="395" t="s">
        <v>5124</v>
      </c>
      <c r="AB160" s="383"/>
      <c r="AE160" t="s">
        <v>25</v>
      </c>
      <c r="AJ160" s="11">
        <v>140</v>
      </c>
      <c r="AK160" s="3" t="s">
        <v>4760</v>
      </c>
      <c r="AL160" s="3">
        <v>1100000</v>
      </c>
      <c r="AM160" s="11">
        <v>0</v>
      </c>
      <c r="AN160" s="20">
        <f t="shared" si="30"/>
        <v>1037</v>
      </c>
      <c r="AO160" s="37">
        <f t="shared" si="31"/>
        <v>1140700000</v>
      </c>
      <c r="AP160" s="20" t="s">
        <v>4774</v>
      </c>
      <c r="AS160" t="s">
        <v>25</v>
      </c>
    </row>
    <row r="161" spans="5:45">
      <c r="F161" s="557"/>
      <c r="G161" s="2" t="s">
        <v>5555</v>
      </c>
      <c r="H161" s="3">
        <v>37723205.094084002</v>
      </c>
      <c r="M161" s="357" t="s">
        <v>4350</v>
      </c>
      <c r="N161" s="1">
        <v>63115000</v>
      </c>
      <c r="O161" s="370" t="s">
        <v>5149</v>
      </c>
      <c r="P161" s="370">
        <v>-11804</v>
      </c>
      <c r="Q161" s="18">
        <v>762.46640000000002</v>
      </c>
      <c r="R161" s="18">
        <f t="shared" si="24"/>
        <v>-9000153.3856000006</v>
      </c>
      <c r="S161" s="395" t="s">
        <v>5151</v>
      </c>
      <c r="AA161" t="s">
        <v>25</v>
      </c>
      <c r="AB161" s="383"/>
      <c r="AJ161" s="11">
        <v>141</v>
      </c>
      <c r="AK161" s="3" t="s">
        <v>4760</v>
      </c>
      <c r="AL161" s="3">
        <v>115000</v>
      </c>
      <c r="AM161" s="11"/>
      <c r="AN161" s="20">
        <f t="shared" si="30"/>
        <v>1037</v>
      </c>
      <c r="AO161" s="37">
        <f t="shared" si="31"/>
        <v>119255000</v>
      </c>
      <c r="AP161" s="20"/>
      <c r="AS161" t="s">
        <v>25</v>
      </c>
    </row>
    <row r="162" spans="5:45">
      <c r="F162" s="517"/>
      <c r="G162" s="2" t="s">
        <v>5556</v>
      </c>
      <c r="H162" s="3">
        <v>1500094.75168</v>
      </c>
      <c r="M162" s="357" t="s">
        <v>4358</v>
      </c>
      <c r="N162" s="1">
        <v>13300000</v>
      </c>
      <c r="O162" s="370" t="s">
        <v>5192</v>
      </c>
      <c r="P162" s="370">
        <v>844</v>
      </c>
      <c r="Q162" s="18">
        <v>830</v>
      </c>
      <c r="R162" s="18">
        <f t="shared" si="24"/>
        <v>700520</v>
      </c>
      <c r="S162" s="395" t="s">
        <v>4316</v>
      </c>
      <c r="AB162" s="383"/>
      <c r="AJ162" s="11">
        <v>142</v>
      </c>
      <c r="AK162" s="3" t="s">
        <v>4768</v>
      </c>
      <c r="AL162" s="3">
        <v>-1100000</v>
      </c>
      <c r="AM162" s="11"/>
      <c r="AN162" s="20">
        <f t="shared" si="30"/>
        <v>1037</v>
      </c>
      <c r="AO162" s="37">
        <f t="shared" si="31"/>
        <v>-1140700000</v>
      </c>
      <c r="AP162" s="20" t="s">
        <v>4775</v>
      </c>
      <c r="AS162" t="s">
        <v>25</v>
      </c>
    </row>
    <row r="163" spans="5:45">
      <c r="F163" s="517"/>
      <c r="G163" s="2" t="s">
        <v>5557</v>
      </c>
      <c r="H163" s="3">
        <v>7230628.4378079996</v>
      </c>
      <c r="M163" s="357" t="s">
        <v>4442</v>
      </c>
      <c r="N163" s="1">
        <v>2269000</v>
      </c>
      <c r="O163" s="370" t="s">
        <v>5196</v>
      </c>
      <c r="P163" s="370">
        <v>8662</v>
      </c>
      <c r="Q163" s="18">
        <v>832.57011999999997</v>
      </c>
      <c r="R163" s="18">
        <f t="shared" si="24"/>
        <v>7211722.3794399993</v>
      </c>
      <c r="S163" s="395" t="s">
        <v>4975</v>
      </c>
      <c r="AA163" t="s">
        <v>25</v>
      </c>
      <c r="AB163" s="383"/>
      <c r="AJ163" s="11">
        <v>143</v>
      </c>
      <c r="AK163" s="3" t="s">
        <v>4768</v>
      </c>
      <c r="AL163" s="3">
        <v>900000</v>
      </c>
      <c r="AM163" s="11">
        <v>1</v>
      </c>
      <c r="AN163" s="20">
        <f t="shared" si="30"/>
        <v>1037</v>
      </c>
      <c r="AO163" s="37">
        <f t="shared" si="31"/>
        <v>933300000</v>
      </c>
      <c r="AP163" s="20" t="s">
        <v>4774</v>
      </c>
    </row>
    <row r="164" spans="5:45">
      <c r="E164" t="s">
        <v>25</v>
      </c>
      <c r="G164" s="2" t="s">
        <v>5559</v>
      </c>
      <c r="H164" s="3">
        <v>29767389.390390001</v>
      </c>
      <c r="M164" s="357" t="s">
        <v>4451</v>
      </c>
      <c r="N164" s="1">
        <v>25071612</v>
      </c>
      <c r="O164" s="370" t="s">
        <v>5197</v>
      </c>
      <c r="P164" s="370">
        <v>10253</v>
      </c>
      <c r="Q164" s="18">
        <v>827.2568</v>
      </c>
      <c r="R164" s="18">
        <f t="shared" si="24"/>
        <v>8481863.9704</v>
      </c>
      <c r="S164" s="395" t="s">
        <v>5200</v>
      </c>
      <c r="AJ164" s="11">
        <v>144</v>
      </c>
      <c r="AK164" s="3" t="s">
        <v>4772</v>
      </c>
      <c r="AL164" s="3">
        <v>2000000</v>
      </c>
      <c r="AM164" s="11">
        <v>0</v>
      </c>
      <c r="AN164" s="20">
        <f t="shared" si="30"/>
        <v>1036</v>
      </c>
      <c r="AO164" s="37">
        <f t="shared" si="31"/>
        <v>2072000000</v>
      </c>
      <c r="AP164" s="20"/>
    </row>
    <row r="165" spans="5:45">
      <c r="G165" s="2" t="s">
        <v>5561</v>
      </c>
      <c r="H165" s="3">
        <v>151560.25597</v>
      </c>
      <c r="M165" s="357" t="s">
        <v>4452</v>
      </c>
      <c r="N165" s="1">
        <v>42236984</v>
      </c>
      <c r="O165" s="391" t="s">
        <v>5201</v>
      </c>
      <c r="P165" s="391">
        <v>-33077</v>
      </c>
      <c r="Q165" s="392">
        <v>786.02973999999995</v>
      </c>
      <c r="R165" s="392">
        <f t="shared" si="24"/>
        <v>-25999505.70998</v>
      </c>
      <c r="S165" s="396" t="s">
        <v>5203</v>
      </c>
      <c r="AD165" t="s">
        <v>25</v>
      </c>
      <c r="AJ165" s="11">
        <v>145</v>
      </c>
      <c r="AK165" s="3" t="s">
        <v>4772</v>
      </c>
      <c r="AL165" s="3">
        <v>360000</v>
      </c>
      <c r="AM165" s="11">
        <v>1</v>
      </c>
      <c r="AN165" s="20">
        <f t="shared" si="30"/>
        <v>1036</v>
      </c>
      <c r="AO165" s="37">
        <f t="shared" si="31"/>
        <v>372960000</v>
      </c>
      <c r="AP165" s="20"/>
    </row>
    <row r="166" spans="5:45">
      <c r="E166" t="s">
        <v>25</v>
      </c>
      <c r="G166" s="2" t="s">
        <v>5562</v>
      </c>
      <c r="H166" s="3">
        <v>481318.88078800001</v>
      </c>
      <c r="M166" s="357" t="s">
        <v>4473</v>
      </c>
      <c r="N166" s="1">
        <v>19663646</v>
      </c>
      <c r="O166" s="370" t="s">
        <v>5201</v>
      </c>
      <c r="P166" s="370">
        <v>-33077</v>
      </c>
      <c r="Q166" s="18">
        <v>786.02973999999995</v>
      </c>
      <c r="R166" s="18">
        <f t="shared" si="24"/>
        <v>-25999505.70998</v>
      </c>
      <c r="S166" s="395" t="s">
        <v>5204</v>
      </c>
      <c r="AJ166" s="11">
        <v>146</v>
      </c>
      <c r="AK166" s="3" t="s">
        <v>4773</v>
      </c>
      <c r="AL166" s="3">
        <v>3000000</v>
      </c>
      <c r="AM166" s="11">
        <v>1</v>
      </c>
      <c r="AN166" s="20">
        <f t="shared" si="30"/>
        <v>1035</v>
      </c>
      <c r="AO166" s="37">
        <f t="shared" si="31"/>
        <v>3105000000</v>
      </c>
      <c r="AP166" s="20"/>
    </row>
    <row r="167" spans="5:45">
      <c r="E167" s="71" t="s">
        <v>25</v>
      </c>
      <c r="G167" s="2" t="s">
        <v>5563</v>
      </c>
      <c r="H167" s="3">
        <v>146277.56820000001</v>
      </c>
      <c r="M167" s="357" t="s">
        <v>4484</v>
      </c>
      <c r="N167" s="1">
        <v>4374525</v>
      </c>
      <c r="O167" s="370" t="s">
        <v>5201</v>
      </c>
      <c r="P167" s="370">
        <v>1983</v>
      </c>
      <c r="Q167" s="18">
        <v>786.02973999999995</v>
      </c>
      <c r="R167" s="18">
        <f t="shared" si="24"/>
        <v>1558696.9744199999</v>
      </c>
      <c r="S167" s="395" t="s">
        <v>4975</v>
      </c>
      <c r="AA167" t="s">
        <v>25</v>
      </c>
      <c r="AJ167" s="11">
        <v>147</v>
      </c>
      <c r="AK167" s="3" t="s">
        <v>4771</v>
      </c>
      <c r="AL167" s="3">
        <v>-658226</v>
      </c>
      <c r="AM167" s="11">
        <v>1</v>
      </c>
      <c r="AN167" s="20">
        <f t="shared" si="30"/>
        <v>1034</v>
      </c>
      <c r="AO167" s="37">
        <f t="shared" si="31"/>
        <v>-680605684</v>
      </c>
      <c r="AP167" s="20"/>
    </row>
    <row r="168" spans="5:45">
      <c r="E168" t="s">
        <v>25</v>
      </c>
      <c r="G168" s="2" t="s">
        <v>5574</v>
      </c>
      <c r="H168" s="3">
        <v>424693.40162399999</v>
      </c>
      <c r="M168" s="357" t="s">
        <v>4486</v>
      </c>
      <c r="N168" s="1">
        <v>6550580</v>
      </c>
      <c r="O168" s="391" t="s">
        <v>5205</v>
      </c>
      <c r="P168" s="391">
        <v>-119753</v>
      </c>
      <c r="Q168" s="392">
        <v>800.81560000000002</v>
      </c>
      <c r="R168" s="392">
        <f t="shared" si="24"/>
        <v>-95900070.546800002</v>
      </c>
      <c r="S168" s="396" t="s">
        <v>5203</v>
      </c>
      <c r="AB168" t="s">
        <v>25</v>
      </c>
      <c r="AJ168" s="11">
        <v>148</v>
      </c>
      <c r="AK168" s="3" t="s">
        <v>4776</v>
      </c>
      <c r="AL168" s="3">
        <v>1000000</v>
      </c>
      <c r="AM168" s="11">
        <v>15</v>
      </c>
      <c r="AN168" s="20">
        <f t="shared" si="30"/>
        <v>1033</v>
      </c>
      <c r="AO168" s="37">
        <f t="shared" si="31"/>
        <v>1033000000</v>
      </c>
      <c r="AP168" s="20"/>
      <c r="AR168" t="s">
        <v>25</v>
      </c>
    </row>
    <row r="169" spans="5:45">
      <c r="G169" s="2" t="s">
        <v>5577</v>
      </c>
      <c r="H169" s="3">
        <v>558320.40202399995</v>
      </c>
      <c r="M169" s="357" t="s">
        <v>4499</v>
      </c>
      <c r="N169" s="1">
        <v>7054895</v>
      </c>
      <c r="O169" s="370" t="s">
        <v>5205</v>
      </c>
      <c r="P169" s="370">
        <v>-119753</v>
      </c>
      <c r="Q169" s="18">
        <v>800.81560000000002</v>
      </c>
      <c r="R169" s="18">
        <f t="shared" si="24"/>
        <v>-95900070.546800002</v>
      </c>
      <c r="S169" s="395" t="s">
        <v>5204</v>
      </c>
      <c r="AB169" t="s">
        <v>25</v>
      </c>
      <c r="AJ169" s="11">
        <v>149</v>
      </c>
      <c r="AK169" s="3" t="s">
        <v>4799</v>
      </c>
      <c r="AL169" s="3">
        <v>1130250</v>
      </c>
      <c r="AM169" s="11">
        <v>5</v>
      </c>
      <c r="AN169" s="20">
        <f t="shared" si="27"/>
        <v>1018</v>
      </c>
      <c r="AO169" s="37">
        <f t="shared" si="29"/>
        <v>1150594500</v>
      </c>
      <c r="AP169" s="20"/>
    </row>
    <row r="170" spans="5:45">
      <c r="G170" s="2" t="s">
        <v>5578</v>
      </c>
      <c r="H170" s="3">
        <v>207642.22201140001</v>
      </c>
      <c r="M170" s="357" t="s">
        <v>4509</v>
      </c>
      <c r="N170" s="1">
        <v>2145814</v>
      </c>
      <c r="O170" s="370" t="s">
        <v>5205</v>
      </c>
      <c r="P170" s="370">
        <v>11291</v>
      </c>
      <c r="Q170" s="18">
        <v>800.81560000000002</v>
      </c>
      <c r="R170" s="18">
        <f t="shared" si="24"/>
        <v>9042008.9396000002</v>
      </c>
      <c r="S170" s="395" t="s">
        <v>422</v>
      </c>
      <c r="AG170" t="s">
        <v>25</v>
      </c>
      <c r="AJ170" s="11">
        <v>150</v>
      </c>
      <c r="AK170" s="3" t="s">
        <v>4805</v>
      </c>
      <c r="AL170" s="3">
        <v>206000</v>
      </c>
      <c r="AM170" s="11">
        <v>2</v>
      </c>
      <c r="AN170" s="20">
        <f t="shared" si="27"/>
        <v>1013</v>
      </c>
      <c r="AO170" s="37">
        <f t="shared" si="29"/>
        <v>208678000</v>
      </c>
      <c r="AP170" s="20"/>
    </row>
    <row r="171" spans="5:45">
      <c r="G171" s="200" t="s">
        <v>5608</v>
      </c>
      <c r="H171" s="64">
        <v>637977.33504399995</v>
      </c>
      <c r="M171" s="357" t="s">
        <v>4511</v>
      </c>
      <c r="N171" s="1">
        <v>4369730</v>
      </c>
      <c r="O171" s="189" t="s">
        <v>5206</v>
      </c>
      <c r="P171" s="189">
        <v>-35361</v>
      </c>
      <c r="Q171" s="190">
        <v>818.697</v>
      </c>
      <c r="R171" s="190">
        <f t="shared" si="24"/>
        <v>-28949944.616999999</v>
      </c>
      <c r="S171" s="394" t="s">
        <v>5203</v>
      </c>
      <c r="AC171" t="s">
        <v>25</v>
      </c>
      <c r="AJ171" s="11">
        <v>151</v>
      </c>
      <c r="AK171" s="3" t="s">
        <v>4812</v>
      </c>
      <c r="AL171" s="3">
        <v>50000</v>
      </c>
      <c r="AM171" s="11">
        <v>2</v>
      </c>
      <c r="AN171" s="20">
        <f t="shared" si="27"/>
        <v>1011</v>
      </c>
      <c r="AO171" s="37">
        <f t="shared" si="29"/>
        <v>50550000</v>
      </c>
      <c r="AP171" s="20"/>
    </row>
    <row r="172" spans="5:45">
      <c r="G172" s="2" t="s">
        <v>5609</v>
      </c>
      <c r="H172" s="3">
        <v>466552.25632400002</v>
      </c>
      <c r="M172" s="357" t="s">
        <v>4520</v>
      </c>
      <c r="N172" s="1">
        <v>8739459</v>
      </c>
      <c r="O172" s="370" t="s">
        <v>5206</v>
      </c>
      <c r="P172" s="370">
        <v>-35361</v>
      </c>
      <c r="Q172" s="18">
        <v>818.697</v>
      </c>
      <c r="R172" s="18">
        <f t="shared" si="24"/>
        <v>-28949944.616999999</v>
      </c>
      <c r="S172" s="395" t="s">
        <v>5204</v>
      </c>
      <c r="AA172" t="s">
        <v>25</v>
      </c>
      <c r="AJ172" s="11">
        <v>152</v>
      </c>
      <c r="AK172" s="3" t="s">
        <v>4816</v>
      </c>
      <c r="AL172" s="3">
        <v>105000</v>
      </c>
      <c r="AM172" s="11">
        <v>4</v>
      </c>
      <c r="AN172" s="20">
        <f t="shared" si="27"/>
        <v>1009</v>
      </c>
      <c r="AO172" s="37">
        <f t="shared" si="29"/>
        <v>105945000</v>
      </c>
      <c r="AP172" s="20"/>
    </row>
    <row r="173" spans="5:45">
      <c r="G173" s="2" t="s">
        <v>5610</v>
      </c>
      <c r="H173" s="3">
        <v>189134.85153000001</v>
      </c>
      <c r="M173" s="357" t="s">
        <v>3599</v>
      </c>
      <c r="N173" s="1">
        <v>6667654</v>
      </c>
      <c r="O173" s="370" t="s">
        <v>5206</v>
      </c>
      <c r="P173" s="370">
        <v>116</v>
      </c>
      <c r="Q173" s="18">
        <v>818.697</v>
      </c>
      <c r="R173" s="18">
        <f t="shared" si="24"/>
        <v>94968.851999999999</v>
      </c>
      <c r="S173" s="395" t="s">
        <v>4975</v>
      </c>
      <c r="AA173" t="s">
        <v>25</v>
      </c>
      <c r="AJ173" s="11">
        <v>153</v>
      </c>
      <c r="AK173" s="3" t="s">
        <v>4820</v>
      </c>
      <c r="AL173" s="3">
        <v>5000000</v>
      </c>
      <c r="AM173" s="11">
        <v>1</v>
      </c>
      <c r="AN173" s="20">
        <f t="shared" si="27"/>
        <v>1005</v>
      </c>
      <c r="AO173" s="37">
        <f t="shared" si="29"/>
        <v>5025000000</v>
      </c>
      <c r="AP173" s="20"/>
    </row>
    <row r="174" spans="5:45">
      <c r="G174" s="2" t="s">
        <v>5612</v>
      </c>
      <c r="H174" s="3">
        <v>564888.82799599995</v>
      </c>
      <c r="M174" s="357" t="s">
        <v>4531</v>
      </c>
      <c r="N174" s="1">
        <v>8981245</v>
      </c>
      <c r="O174" s="370" t="s">
        <v>5210</v>
      </c>
      <c r="P174" s="370">
        <v>48633</v>
      </c>
      <c r="Q174" s="18">
        <v>822.47199999999998</v>
      </c>
      <c r="R174" s="18">
        <f t="shared" si="24"/>
        <v>39999280.776000001</v>
      </c>
      <c r="S174" s="395" t="s">
        <v>5213</v>
      </c>
      <c r="AB174" t="s">
        <v>25</v>
      </c>
      <c r="AJ174" s="11">
        <v>154</v>
      </c>
      <c r="AK174" s="3" t="s">
        <v>4821</v>
      </c>
      <c r="AL174" s="3">
        <v>2500000</v>
      </c>
      <c r="AM174" s="11">
        <v>2</v>
      </c>
      <c r="AN174" s="20">
        <f t="shared" si="27"/>
        <v>1004</v>
      </c>
      <c r="AO174" s="37">
        <f t="shared" si="29"/>
        <v>2510000000</v>
      </c>
      <c r="AP174" s="20"/>
    </row>
    <row r="175" spans="5:45">
      <c r="G175" s="2" t="s">
        <v>5637</v>
      </c>
      <c r="H175" s="3">
        <v>259993.58394100002</v>
      </c>
      <c r="M175" s="357" t="s">
        <v>4533</v>
      </c>
      <c r="N175" s="1">
        <v>9181756</v>
      </c>
      <c r="O175" s="370" t="s">
        <v>5210</v>
      </c>
      <c r="P175" s="370">
        <v>3412</v>
      </c>
      <c r="Q175" s="18">
        <v>822.47199999999998</v>
      </c>
      <c r="R175" s="18">
        <f t="shared" si="24"/>
        <v>2806274.4640000002</v>
      </c>
      <c r="S175" s="395" t="s">
        <v>5215</v>
      </c>
      <c r="AJ175" s="178">
        <v>155</v>
      </c>
      <c r="AK175" s="174" t="s">
        <v>4827</v>
      </c>
      <c r="AL175" s="174">
        <v>-50000000</v>
      </c>
      <c r="AM175" s="178">
        <v>7</v>
      </c>
      <c r="AN175" s="178">
        <f t="shared" si="27"/>
        <v>1002</v>
      </c>
      <c r="AO175" s="174">
        <f t="shared" si="29"/>
        <v>-50100000000</v>
      </c>
      <c r="AP175" s="178" t="s">
        <v>4835</v>
      </c>
    </row>
    <row r="176" spans="5:45">
      <c r="G176" s="2" t="s">
        <v>5638</v>
      </c>
      <c r="H176" s="3">
        <v>269955.31205999997</v>
      </c>
      <c r="M176" s="357" t="s">
        <v>4545</v>
      </c>
      <c r="N176" s="1">
        <v>11811208</v>
      </c>
      <c r="O176" s="370" t="s">
        <v>5211</v>
      </c>
      <c r="P176" s="370">
        <v>1531</v>
      </c>
      <c r="Q176" s="18">
        <v>869.82500000000005</v>
      </c>
      <c r="R176" s="18">
        <f t="shared" si="24"/>
        <v>1331702.075</v>
      </c>
      <c r="S176" s="395" t="s">
        <v>5216</v>
      </c>
      <c r="AJ176" s="11">
        <v>156</v>
      </c>
      <c r="AK176" s="3" t="s">
        <v>4833</v>
      </c>
      <c r="AL176" s="3">
        <v>10000000</v>
      </c>
      <c r="AM176" s="11">
        <v>12</v>
      </c>
      <c r="AN176" s="20">
        <f t="shared" si="27"/>
        <v>995</v>
      </c>
      <c r="AO176" s="37">
        <f t="shared" si="29"/>
        <v>9950000000</v>
      </c>
      <c r="AP176" s="20" t="s">
        <v>4559</v>
      </c>
    </row>
    <row r="177" spans="7:45">
      <c r="G177" s="2" t="s">
        <v>5990</v>
      </c>
      <c r="H177" s="3">
        <v>560534.38387200003</v>
      </c>
      <c r="M177" s="357" t="s">
        <v>4552</v>
      </c>
      <c r="N177" s="1">
        <v>41248054</v>
      </c>
      <c r="O177" s="370" t="s">
        <v>5219</v>
      </c>
      <c r="P177" s="370">
        <v>1019</v>
      </c>
      <c r="Q177" s="18">
        <v>835.36580000000004</v>
      </c>
      <c r="R177" s="18">
        <f t="shared" si="24"/>
        <v>851237.75020000001</v>
      </c>
      <c r="S177" s="395" t="s">
        <v>422</v>
      </c>
      <c r="AJ177" s="11">
        <v>157</v>
      </c>
      <c r="AK177" s="3" t="s">
        <v>4840</v>
      </c>
      <c r="AL177" s="3">
        <v>-16266000</v>
      </c>
      <c r="AM177" s="11">
        <v>1</v>
      </c>
      <c r="AN177" s="20">
        <f t="shared" si="27"/>
        <v>983</v>
      </c>
      <c r="AO177" s="37">
        <f t="shared" si="29"/>
        <v>-15989478000</v>
      </c>
      <c r="AP177" s="20" t="s">
        <v>4848</v>
      </c>
      <c r="AS177" t="s">
        <v>25</v>
      </c>
    </row>
    <row r="178" spans="7:45">
      <c r="G178" s="2" t="s">
        <v>5992</v>
      </c>
      <c r="H178" s="3">
        <v>581484.96802499995</v>
      </c>
      <c r="M178" s="357" t="s">
        <v>4558</v>
      </c>
      <c r="N178" s="1">
        <v>37328780</v>
      </c>
      <c r="O178" s="189" t="s">
        <v>5223</v>
      </c>
      <c r="P178" s="189">
        <v>2316</v>
      </c>
      <c r="Q178" s="190">
        <v>818.697</v>
      </c>
      <c r="R178" s="190">
        <f t="shared" si="24"/>
        <v>1896102.2520000001</v>
      </c>
      <c r="S178" s="394" t="s">
        <v>5226</v>
      </c>
      <c r="AJ178" s="11">
        <v>158</v>
      </c>
      <c r="AK178" s="3" t="s">
        <v>4849</v>
      </c>
      <c r="AL178" s="3">
        <v>1000000</v>
      </c>
      <c r="AM178" s="11">
        <v>6</v>
      </c>
      <c r="AN178" s="20">
        <f>AN179+AM178</f>
        <v>982</v>
      </c>
      <c r="AO178" s="37">
        <f>AL178*AN178</f>
        <v>982000000</v>
      </c>
      <c r="AP178" s="20"/>
    </row>
    <row r="179" spans="7:45">
      <c r="G179" s="2" t="s">
        <v>5994</v>
      </c>
      <c r="H179" s="3">
        <v>2136964.3409779998</v>
      </c>
      <c r="M179" s="357" t="s">
        <v>4613</v>
      </c>
      <c r="N179" s="1">
        <v>50000000</v>
      </c>
      <c r="O179" s="370" t="s">
        <v>5229</v>
      </c>
      <c r="P179" s="370">
        <v>315</v>
      </c>
      <c r="Q179" s="18">
        <v>680</v>
      </c>
      <c r="R179" s="18">
        <f t="shared" si="24"/>
        <v>214200</v>
      </c>
      <c r="S179" s="395" t="s">
        <v>4975</v>
      </c>
      <c r="AJ179" s="11">
        <v>159</v>
      </c>
      <c r="AK179" s="3" t="s">
        <v>4857</v>
      </c>
      <c r="AL179" s="3">
        <v>40000</v>
      </c>
      <c r="AM179" s="11">
        <v>5</v>
      </c>
      <c r="AN179" s="20">
        <f>AN180+AM179</f>
        <v>976</v>
      </c>
      <c r="AO179" s="37">
        <f>AL179*AN179</f>
        <v>39040000</v>
      </c>
      <c r="AP179" s="20"/>
    </row>
    <row r="180" spans="7:45">
      <c r="G180" s="2" t="s">
        <v>5997</v>
      </c>
      <c r="H180" s="3">
        <v>593783.22629999998</v>
      </c>
      <c r="M180" s="357" t="s">
        <v>4622</v>
      </c>
      <c r="N180" s="1">
        <v>68656</v>
      </c>
      <c r="O180" s="370" t="s">
        <v>5251</v>
      </c>
      <c r="P180" s="370">
        <v>832</v>
      </c>
      <c r="Q180" s="18">
        <v>784.36500000000001</v>
      </c>
      <c r="R180" s="18">
        <f t="shared" si="24"/>
        <v>652591.68000000005</v>
      </c>
      <c r="S180" s="395" t="s">
        <v>4975</v>
      </c>
      <c r="AJ180" s="11">
        <v>160</v>
      </c>
      <c r="AK180" s="3" t="s">
        <v>4865</v>
      </c>
      <c r="AL180" s="3">
        <v>120000</v>
      </c>
      <c r="AM180" s="11">
        <v>6</v>
      </c>
      <c r="AN180" s="20">
        <f>AN181+AM180</f>
        <v>971</v>
      </c>
      <c r="AO180" s="37">
        <f>AL180*AN180</f>
        <v>116520000</v>
      </c>
      <c r="AP180" s="20"/>
    </row>
    <row r="181" spans="7:45">
      <c r="G181" s="2" t="s">
        <v>6001</v>
      </c>
      <c r="H181" s="3">
        <v>469469.96222000004</v>
      </c>
      <c r="M181" s="357" t="s">
        <v>4622</v>
      </c>
      <c r="N181" s="1">
        <v>4000236</v>
      </c>
      <c r="O181" s="370" t="s">
        <v>5292</v>
      </c>
      <c r="P181" s="370">
        <v>382</v>
      </c>
      <c r="Q181" s="18">
        <v>1450.6065000000001</v>
      </c>
      <c r="R181" s="18">
        <f t="shared" si="24"/>
        <v>554131.68300000008</v>
      </c>
      <c r="S181" s="395"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7" t="s">
        <v>4627</v>
      </c>
      <c r="N182" s="1">
        <v>2250000</v>
      </c>
      <c r="O182" s="370" t="s">
        <v>5293</v>
      </c>
      <c r="P182" s="370">
        <v>50047</v>
      </c>
      <c r="Q182" s="18">
        <v>1406.14</v>
      </c>
      <c r="R182" s="18">
        <f t="shared" si="24"/>
        <v>70373088.579999998</v>
      </c>
      <c r="S182" s="395"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7" t="s">
        <v>4636</v>
      </c>
      <c r="N183" s="1">
        <v>-2512200</v>
      </c>
      <c r="O183" s="370" t="s">
        <v>5294</v>
      </c>
      <c r="P183" s="370">
        <v>846</v>
      </c>
      <c r="Q183" s="18">
        <v>1441.6724569999999</v>
      </c>
      <c r="R183" s="18">
        <f t="shared" si="24"/>
        <v>1219654.8986219999</v>
      </c>
      <c r="S183" s="395" t="s">
        <v>4975</v>
      </c>
      <c r="AB183" t="s">
        <v>25</v>
      </c>
      <c r="AJ183" s="11">
        <v>163</v>
      </c>
      <c r="AK183" s="3" t="s">
        <v>4895</v>
      </c>
      <c r="AL183" s="3">
        <v>-312598</v>
      </c>
      <c r="AM183" s="11">
        <v>0</v>
      </c>
      <c r="AN183" s="20">
        <f t="shared" ref="AN183:AN190" si="32">AN184+AM183</f>
        <v>949</v>
      </c>
      <c r="AO183" s="37">
        <f t="shared" ref="AO183:AO190" si="33">AL183*AN183</f>
        <v>-296655502</v>
      </c>
      <c r="AP183" s="20"/>
      <c r="AQ183" t="s">
        <v>25</v>
      </c>
      <c r="AS183" t="s">
        <v>25</v>
      </c>
    </row>
    <row r="184" spans="7:45">
      <c r="G184" s="2" t="s">
        <v>6041</v>
      </c>
      <c r="H184" s="3">
        <v>676700.69889600005</v>
      </c>
      <c r="M184" s="357" t="s">
        <v>901</v>
      </c>
      <c r="N184" s="1">
        <v>300000</v>
      </c>
      <c r="O184" s="370" t="s">
        <v>5295</v>
      </c>
      <c r="P184" s="370">
        <v>10573</v>
      </c>
      <c r="Q184" s="18">
        <v>1451.825</v>
      </c>
      <c r="R184" s="18">
        <f t="shared" si="24"/>
        <v>15350145.725</v>
      </c>
      <c r="S184" s="395" t="s">
        <v>4975</v>
      </c>
      <c r="AA184" t="s">
        <v>25</v>
      </c>
      <c r="AD184" t="s">
        <v>25</v>
      </c>
      <c r="AJ184" s="11">
        <v>164</v>
      </c>
      <c r="AK184" s="3" t="s">
        <v>4895</v>
      </c>
      <c r="AL184" s="3">
        <v>50000</v>
      </c>
      <c r="AM184" s="11">
        <v>6</v>
      </c>
      <c r="AN184" s="20">
        <f t="shared" si="32"/>
        <v>949</v>
      </c>
      <c r="AO184" s="37">
        <f t="shared" si="33"/>
        <v>47450000</v>
      </c>
      <c r="AP184" s="20"/>
    </row>
    <row r="185" spans="7:45">
      <c r="G185" s="2" t="s">
        <v>6047</v>
      </c>
      <c r="H185" s="3">
        <v>1105777.5430340001</v>
      </c>
      <c r="M185" s="357" t="s">
        <v>4642</v>
      </c>
      <c r="N185" s="1">
        <v>1100000</v>
      </c>
      <c r="O185" s="370" t="s">
        <v>5296</v>
      </c>
      <c r="P185" s="370">
        <v>85</v>
      </c>
      <c r="Q185" s="18">
        <v>1423.74</v>
      </c>
      <c r="R185" s="18">
        <f t="shared" si="24"/>
        <v>121017.9</v>
      </c>
      <c r="S185" s="395" t="s">
        <v>5297</v>
      </c>
      <c r="AA185" t="s">
        <v>25</v>
      </c>
      <c r="AJ185" s="11">
        <v>165</v>
      </c>
      <c r="AK185" s="3" t="s">
        <v>4905</v>
      </c>
      <c r="AL185" s="3">
        <v>-200000</v>
      </c>
      <c r="AM185" s="11">
        <v>0</v>
      </c>
      <c r="AN185" s="20">
        <f t="shared" si="32"/>
        <v>943</v>
      </c>
      <c r="AO185" s="37">
        <f t="shared" si="33"/>
        <v>-188600000</v>
      </c>
      <c r="AP185" s="20" t="s">
        <v>4906</v>
      </c>
    </row>
    <row r="186" spans="7:45">
      <c r="G186" s="2" t="s">
        <v>6049</v>
      </c>
      <c r="H186" s="3">
        <v>2315234.8602510002</v>
      </c>
      <c r="M186" s="357" t="s">
        <v>4661</v>
      </c>
      <c r="N186" s="1">
        <v>890000</v>
      </c>
      <c r="O186" s="370" t="s">
        <v>5300</v>
      </c>
      <c r="P186" s="370">
        <v>738</v>
      </c>
      <c r="Q186" s="18">
        <v>1388.87895</v>
      </c>
      <c r="R186" s="18">
        <f t="shared" si="24"/>
        <v>1024992.6651</v>
      </c>
      <c r="S186" s="395" t="s">
        <v>5304</v>
      </c>
      <c r="AA186" t="s">
        <v>25</v>
      </c>
      <c r="AJ186" s="11">
        <v>166</v>
      </c>
      <c r="AK186" s="3" t="s">
        <v>4905</v>
      </c>
      <c r="AL186" s="3">
        <v>200000</v>
      </c>
      <c r="AM186" s="11">
        <v>3</v>
      </c>
      <c r="AN186" s="20">
        <f t="shared" si="32"/>
        <v>943</v>
      </c>
      <c r="AO186" s="37">
        <f t="shared" si="33"/>
        <v>188600000</v>
      </c>
      <c r="AP186" s="20"/>
      <c r="AS186" t="s">
        <v>25</v>
      </c>
    </row>
    <row r="187" spans="7:45">
      <c r="G187" s="2" t="s">
        <v>6050</v>
      </c>
      <c r="H187" s="3">
        <v>4136360.6541840001</v>
      </c>
      <c r="M187" s="357" t="s">
        <v>4662</v>
      </c>
      <c r="N187" s="1">
        <v>1000000</v>
      </c>
      <c r="O187" s="370" t="s">
        <v>5305</v>
      </c>
      <c r="P187" s="370">
        <v>1442</v>
      </c>
      <c r="Q187" s="18">
        <v>1350.9547279999999</v>
      </c>
      <c r="R187" s="18">
        <f t="shared" si="24"/>
        <v>1948076.7177759998</v>
      </c>
      <c r="S187" s="395" t="s">
        <v>4975</v>
      </c>
      <c r="AA187" t="s">
        <v>25</v>
      </c>
      <c r="AJ187" s="11">
        <v>167</v>
      </c>
      <c r="AK187" s="3" t="s">
        <v>4912</v>
      </c>
      <c r="AL187" s="3">
        <v>200000</v>
      </c>
      <c r="AM187" s="11">
        <v>3</v>
      </c>
      <c r="AN187" s="20">
        <f t="shared" si="32"/>
        <v>940</v>
      </c>
      <c r="AO187" s="37">
        <f t="shared" si="33"/>
        <v>188000000</v>
      </c>
      <c r="AP187" s="20"/>
    </row>
    <row r="188" spans="7:45">
      <c r="G188" s="2" t="s">
        <v>6051</v>
      </c>
      <c r="H188" s="3">
        <v>3035714.4702960001</v>
      </c>
      <c r="M188" s="357" t="s">
        <v>4662</v>
      </c>
      <c r="N188" s="1">
        <v>45436311</v>
      </c>
      <c r="O188" s="370" t="s">
        <v>5306</v>
      </c>
      <c r="P188" s="370">
        <v>36847</v>
      </c>
      <c r="Q188" s="18">
        <v>1356.9658300000001</v>
      </c>
      <c r="R188" s="18">
        <f t="shared" si="24"/>
        <v>50000119.938010007</v>
      </c>
      <c r="S188" s="395" t="s">
        <v>4980</v>
      </c>
      <c r="AJ188" s="11">
        <v>168</v>
      </c>
      <c r="AK188" s="3" t="s">
        <v>4915</v>
      </c>
      <c r="AL188" s="3">
        <v>30000</v>
      </c>
      <c r="AM188" s="11">
        <v>7</v>
      </c>
      <c r="AN188" s="20">
        <f t="shared" si="32"/>
        <v>937</v>
      </c>
      <c r="AO188" s="37">
        <f t="shared" si="33"/>
        <v>28110000</v>
      </c>
      <c r="AP188" s="20"/>
    </row>
    <row r="189" spans="7:45">
      <c r="G189" s="2" t="s">
        <v>6057</v>
      </c>
      <c r="H189" s="3">
        <v>93814</v>
      </c>
      <c r="M189" s="357" t="s">
        <v>4674</v>
      </c>
      <c r="N189" s="1">
        <v>-3500000</v>
      </c>
      <c r="O189" s="370" t="s">
        <v>5307</v>
      </c>
      <c r="P189" s="370">
        <v>13738</v>
      </c>
      <c r="Q189" s="18">
        <v>1455.82</v>
      </c>
      <c r="R189" s="18">
        <f t="shared" si="24"/>
        <v>20000055.16</v>
      </c>
      <c r="S189" s="395" t="s">
        <v>5314</v>
      </c>
      <c r="AJ189" s="11">
        <v>169</v>
      </c>
      <c r="AK189" s="3" t="s">
        <v>4874</v>
      </c>
      <c r="AL189" s="3">
        <v>-10000000</v>
      </c>
      <c r="AM189" s="11">
        <v>0</v>
      </c>
      <c r="AN189" s="20">
        <f t="shared" si="32"/>
        <v>930</v>
      </c>
      <c r="AO189" s="37">
        <f t="shared" si="33"/>
        <v>-9300000000</v>
      </c>
      <c r="AP189" s="20" t="s">
        <v>4835</v>
      </c>
    </row>
    <row r="190" spans="7:45">
      <c r="G190" s="2" t="s">
        <v>6060</v>
      </c>
      <c r="H190" s="3">
        <v>345069.28943499998</v>
      </c>
      <c r="M190" s="357" t="s">
        <v>4709</v>
      </c>
      <c r="N190" s="1">
        <v>2520000</v>
      </c>
      <c r="O190" s="370" t="s">
        <v>5321</v>
      </c>
      <c r="P190" s="370">
        <v>3100</v>
      </c>
      <c r="Q190" s="18">
        <v>1853.4507470000001</v>
      </c>
      <c r="R190" s="18">
        <f t="shared" si="24"/>
        <v>5745697.3157000002</v>
      </c>
      <c r="S190" s="395" t="s">
        <v>4975</v>
      </c>
      <c r="AA190" t="s">
        <v>25</v>
      </c>
      <c r="AJ190" s="11">
        <v>170</v>
      </c>
      <c r="AK190" s="3" t="s">
        <v>4874</v>
      </c>
      <c r="AL190" s="3">
        <v>6000000</v>
      </c>
      <c r="AM190" s="11">
        <v>8</v>
      </c>
      <c r="AN190" s="20">
        <f t="shared" si="32"/>
        <v>930</v>
      </c>
      <c r="AO190" s="37">
        <f t="shared" si="33"/>
        <v>5580000000</v>
      </c>
      <c r="AP190" s="20"/>
      <c r="AR190" t="s">
        <v>25</v>
      </c>
    </row>
    <row r="191" spans="7:45">
      <c r="G191" s="2" t="s">
        <v>6149</v>
      </c>
      <c r="H191" s="3">
        <v>567785.37859199999</v>
      </c>
      <c r="M191" s="357" t="s">
        <v>4721</v>
      </c>
      <c r="N191" s="1">
        <v>4900000</v>
      </c>
      <c r="O191" s="370" t="s">
        <v>5322</v>
      </c>
      <c r="P191" s="370">
        <v>480</v>
      </c>
      <c r="Q191" s="18">
        <v>1891.9962069999999</v>
      </c>
      <c r="R191" s="18">
        <f t="shared" si="24"/>
        <v>908158.17935999995</v>
      </c>
      <c r="S191" s="395"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7" t="s">
        <v>4681</v>
      </c>
      <c r="N192" s="1">
        <v>1150000</v>
      </c>
      <c r="O192" s="370" t="s">
        <v>5323</v>
      </c>
      <c r="P192" s="370">
        <v>6522</v>
      </c>
      <c r="Q192" s="18">
        <v>1938.4694340000001</v>
      </c>
      <c r="R192" s="18">
        <f t="shared" si="24"/>
        <v>12642697.648548001</v>
      </c>
      <c r="S192" s="395" t="s">
        <v>4975</v>
      </c>
      <c r="AA192" t="s">
        <v>25</v>
      </c>
      <c r="AJ192" s="11">
        <v>172</v>
      </c>
      <c r="AK192" s="3" t="s">
        <v>4971</v>
      </c>
      <c r="AL192" s="3">
        <v>400000</v>
      </c>
      <c r="AM192" s="11">
        <v>1</v>
      </c>
      <c r="AN192" s="20">
        <f>AN193+AM192</f>
        <v>915</v>
      </c>
      <c r="AO192" s="37">
        <f>AL192*AN192</f>
        <v>366000000</v>
      </c>
      <c r="AP192" s="20"/>
    </row>
    <row r="193" spans="5:47">
      <c r="G193" s="2" t="s">
        <v>6156</v>
      </c>
      <c r="H193" s="3">
        <v>519135.75707200001</v>
      </c>
      <c r="M193" s="357" t="s">
        <v>4752</v>
      </c>
      <c r="N193" s="1">
        <v>250000</v>
      </c>
      <c r="O193" s="370" t="s">
        <v>5324</v>
      </c>
      <c r="P193" s="370">
        <v>6197</v>
      </c>
      <c r="Q193" s="18">
        <v>1984.3985499999999</v>
      </c>
      <c r="R193" s="18">
        <f t="shared" si="24"/>
        <v>12297317.81435</v>
      </c>
      <c r="S193" s="395" t="s">
        <v>4975</v>
      </c>
      <c r="AJ193" s="11">
        <v>173</v>
      </c>
      <c r="AK193" s="3" t="s">
        <v>4974</v>
      </c>
      <c r="AL193" s="3">
        <v>-100000</v>
      </c>
      <c r="AM193" s="11">
        <v>1</v>
      </c>
      <c r="AN193" s="20">
        <f>AN194+AM193</f>
        <v>914</v>
      </c>
      <c r="AO193" s="37">
        <f>AL193*AN193</f>
        <v>-91400000</v>
      </c>
      <c r="AP193" s="20"/>
    </row>
    <row r="194" spans="5:47">
      <c r="G194" s="2" t="s">
        <v>6162</v>
      </c>
      <c r="H194" s="3">
        <v>3406413.9029760002</v>
      </c>
      <c r="M194" s="357" t="s">
        <v>4755</v>
      </c>
      <c r="N194" s="1">
        <v>1403460</v>
      </c>
      <c r="O194" s="370" t="s">
        <v>5325</v>
      </c>
      <c r="P194" s="370">
        <v>4646</v>
      </c>
      <c r="Q194" s="18">
        <v>1928.464023</v>
      </c>
      <c r="R194" s="18">
        <f t="shared" si="24"/>
        <v>8959643.8508579992</v>
      </c>
      <c r="S194" s="395" t="s">
        <v>4975</v>
      </c>
      <c r="AJ194" s="11">
        <v>174</v>
      </c>
      <c r="AK194" s="3" t="s">
        <v>4978</v>
      </c>
      <c r="AL194" s="3">
        <v>10000000</v>
      </c>
      <c r="AM194" s="11">
        <v>1</v>
      </c>
      <c r="AN194" s="20">
        <f>AN195+AM194</f>
        <v>913</v>
      </c>
      <c r="AO194" s="37">
        <f>AL194*AN194</f>
        <v>9130000000</v>
      </c>
      <c r="AP194" s="20" t="s">
        <v>4559</v>
      </c>
      <c r="AU194" t="s">
        <v>25</v>
      </c>
    </row>
    <row r="195" spans="5:47">
      <c r="G195" s="234" t="s">
        <v>6163</v>
      </c>
      <c r="H195" s="54">
        <v>435036.348168</v>
      </c>
      <c r="M195" s="357" t="s">
        <v>4760</v>
      </c>
      <c r="N195" s="1">
        <v>200000</v>
      </c>
      <c r="O195" s="370" t="s">
        <v>5326</v>
      </c>
      <c r="P195" s="370">
        <v>7668</v>
      </c>
      <c r="Q195" s="18">
        <v>1976.2774959999999</v>
      </c>
      <c r="R195" s="18">
        <f t="shared" si="24"/>
        <v>15154095.839328</v>
      </c>
      <c r="S195" s="395" t="s">
        <v>4975</v>
      </c>
      <c r="AJ195" s="11">
        <v>175</v>
      </c>
      <c r="AK195" s="3" t="s">
        <v>4983</v>
      </c>
      <c r="AL195" s="3">
        <v>-400000</v>
      </c>
      <c r="AM195" s="11">
        <v>6</v>
      </c>
      <c r="AN195" s="20">
        <f t="shared" ref="AN195:AN203" si="34">AN196+AM195</f>
        <v>912</v>
      </c>
      <c r="AO195" s="37">
        <f t="shared" ref="AO195:AO203" si="35">AL195*AN195</f>
        <v>-364800000</v>
      </c>
      <c r="AP195" s="20"/>
    </row>
    <row r="196" spans="5:47">
      <c r="G196" s="2" t="s">
        <v>6183</v>
      </c>
      <c r="H196" s="3">
        <v>2321535.4633200001</v>
      </c>
      <c r="M196" s="357" t="s">
        <v>4765</v>
      </c>
      <c r="N196" s="1">
        <v>345000</v>
      </c>
      <c r="O196" s="370" t="s">
        <v>5333</v>
      </c>
      <c r="P196" s="370">
        <v>-43325</v>
      </c>
      <c r="Q196" s="18">
        <v>2146.5548840000001</v>
      </c>
      <c r="R196" s="18">
        <f t="shared" si="24"/>
        <v>-92999490.349300012</v>
      </c>
      <c r="S196" s="395" t="s">
        <v>5334</v>
      </c>
      <c r="AJ196" s="11">
        <v>176</v>
      </c>
      <c r="AK196" s="3" t="s">
        <v>4990</v>
      </c>
      <c r="AL196" s="3">
        <v>1300000</v>
      </c>
      <c r="AM196" s="11">
        <v>0</v>
      </c>
      <c r="AN196" s="20">
        <f t="shared" si="34"/>
        <v>906</v>
      </c>
      <c r="AO196" s="37">
        <f t="shared" si="35"/>
        <v>1177800000</v>
      </c>
      <c r="AP196" s="20"/>
      <c r="AT196" t="s">
        <v>25</v>
      </c>
    </row>
    <row r="197" spans="5:47">
      <c r="G197" s="2" t="s">
        <v>6464</v>
      </c>
      <c r="H197" s="3">
        <v>1098146.8035800001</v>
      </c>
      <c r="M197" s="357" t="s">
        <v>4768</v>
      </c>
      <c r="N197" s="1">
        <v>900000</v>
      </c>
      <c r="O197" s="370" t="s">
        <v>5341</v>
      </c>
      <c r="P197" s="370">
        <v>20888</v>
      </c>
      <c r="Q197" s="18">
        <v>2428.4521530000002</v>
      </c>
      <c r="R197" s="18">
        <f t="shared" si="24"/>
        <v>50725508.571864001</v>
      </c>
      <c r="S197" s="395" t="s">
        <v>4975</v>
      </c>
      <c r="AA197" t="s">
        <v>25</v>
      </c>
      <c r="AB197" t="s">
        <v>25</v>
      </c>
      <c r="AJ197" s="11">
        <v>177</v>
      </c>
      <c r="AK197" s="3" t="s">
        <v>4990</v>
      </c>
      <c r="AL197" s="3">
        <v>230000</v>
      </c>
      <c r="AM197" s="11">
        <v>1</v>
      </c>
      <c r="AN197" s="20">
        <f t="shared" si="34"/>
        <v>906</v>
      </c>
      <c r="AO197" s="37">
        <f t="shared" si="35"/>
        <v>208380000</v>
      </c>
      <c r="AP197" s="20"/>
    </row>
    <row r="198" spans="5:47">
      <c r="G198" s="2" t="s">
        <v>6467</v>
      </c>
      <c r="H198" s="3">
        <v>540424.560405</v>
      </c>
      <c r="M198" s="357" t="s">
        <v>4776</v>
      </c>
      <c r="N198" s="1">
        <v>372517</v>
      </c>
      <c r="O198" s="370" t="s">
        <v>5342</v>
      </c>
      <c r="P198" s="370">
        <v>21663</v>
      </c>
      <c r="Q198" s="18">
        <v>2308.0067819999999</v>
      </c>
      <c r="R198" s="18">
        <f t="shared" si="24"/>
        <v>49998350.918466002</v>
      </c>
      <c r="S198" s="395" t="s">
        <v>5345</v>
      </c>
      <c r="AJ198" s="11">
        <v>178</v>
      </c>
      <c r="AK198" s="3" t="s">
        <v>4993</v>
      </c>
      <c r="AL198" s="3">
        <v>880000</v>
      </c>
      <c r="AM198" s="11">
        <v>4</v>
      </c>
      <c r="AN198" s="20">
        <f t="shared" si="34"/>
        <v>905</v>
      </c>
      <c r="AO198" s="37">
        <f t="shared" si="35"/>
        <v>796400000</v>
      </c>
      <c r="AP198" s="20"/>
    </row>
    <row r="199" spans="5:47">
      <c r="E199" t="s">
        <v>25</v>
      </c>
      <c r="G199" s="2" t="s">
        <v>6468</v>
      </c>
      <c r="H199" s="3">
        <v>2781712.2405709997</v>
      </c>
      <c r="M199" s="357" t="s">
        <v>4805</v>
      </c>
      <c r="N199" s="1">
        <v>6489257</v>
      </c>
      <c r="O199" s="370" t="s">
        <v>5342</v>
      </c>
      <c r="P199" s="370">
        <v>977</v>
      </c>
      <c r="Q199" s="18">
        <v>2335.6821479999999</v>
      </c>
      <c r="R199" s="18">
        <f t="shared" si="24"/>
        <v>2281961.458596</v>
      </c>
      <c r="S199" s="395" t="s">
        <v>4975</v>
      </c>
      <c r="AA199" t="s">
        <v>25</v>
      </c>
      <c r="AJ199" s="11">
        <v>179</v>
      </c>
      <c r="AK199" s="3" t="s">
        <v>4997</v>
      </c>
      <c r="AL199" s="3">
        <v>-900000</v>
      </c>
      <c r="AM199" s="11">
        <v>1</v>
      </c>
      <c r="AN199" s="20">
        <f t="shared" si="34"/>
        <v>901</v>
      </c>
      <c r="AO199" s="37">
        <f t="shared" si="35"/>
        <v>-810900000</v>
      </c>
      <c r="AP199" s="20"/>
    </row>
    <row r="200" spans="5:47">
      <c r="G200" s="2" t="s">
        <v>6473</v>
      </c>
      <c r="H200" s="3">
        <v>109680.86334900001</v>
      </c>
      <c r="M200" s="357" t="s">
        <v>4816</v>
      </c>
      <c r="N200" s="1">
        <v>618000</v>
      </c>
      <c r="O200" s="370" t="s">
        <v>5349</v>
      </c>
      <c r="P200" s="370">
        <v>4155</v>
      </c>
      <c r="Q200" s="18">
        <v>2647</v>
      </c>
      <c r="R200" s="18">
        <f t="shared" si="24"/>
        <v>10998285</v>
      </c>
      <c r="S200" s="395" t="s">
        <v>4975</v>
      </c>
      <c r="AJ200" s="11">
        <v>180</v>
      </c>
      <c r="AK200" s="3" t="s">
        <v>912</v>
      </c>
      <c r="AL200" s="3">
        <v>-3500000</v>
      </c>
      <c r="AM200" s="11">
        <v>1</v>
      </c>
      <c r="AN200" s="20">
        <f t="shared" si="34"/>
        <v>900</v>
      </c>
      <c r="AO200" s="37">
        <f t="shared" si="35"/>
        <v>-3150000000</v>
      </c>
      <c r="AP200" s="20"/>
      <c r="AT200" t="s">
        <v>25</v>
      </c>
    </row>
    <row r="201" spans="5:47">
      <c r="G201" s="2" t="s">
        <v>6491</v>
      </c>
      <c r="H201" s="3">
        <v>13945790.265610002</v>
      </c>
      <c r="M201" s="357" t="s">
        <v>4820</v>
      </c>
      <c r="N201" s="1">
        <v>20105000</v>
      </c>
      <c r="O201" s="370" t="s">
        <v>5350</v>
      </c>
      <c r="P201" s="370">
        <v>351</v>
      </c>
      <c r="Q201" s="18">
        <v>2800.6238229999999</v>
      </c>
      <c r="R201" s="18">
        <f t="shared" si="24"/>
        <v>983018.96187300002</v>
      </c>
      <c r="S201" s="395" t="s">
        <v>4975</v>
      </c>
      <c r="AJ201" s="11">
        <v>181</v>
      </c>
      <c r="AK201" s="3" t="s">
        <v>4171</v>
      </c>
      <c r="AL201" s="3">
        <v>-1600000</v>
      </c>
      <c r="AM201" s="11">
        <v>1</v>
      </c>
      <c r="AN201" s="20">
        <f t="shared" si="34"/>
        <v>899</v>
      </c>
      <c r="AO201" s="37">
        <f t="shared" si="35"/>
        <v>-1438400000</v>
      </c>
      <c r="AP201" s="20"/>
      <c r="AS201" t="s">
        <v>25</v>
      </c>
    </row>
    <row r="202" spans="5:47">
      <c r="G202" s="2" t="s">
        <v>6493</v>
      </c>
      <c r="H202" s="3">
        <v>457914.84466800001</v>
      </c>
      <c r="M202" s="357" t="s">
        <v>4821</v>
      </c>
      <c r="N202" s="1">
        <v>-21079990</v>
      </c>
      <c r="O202" s="370" t="s">
        <v>5352</v>
      </c>
      <c r="P202" s="370">
        <v>5877</v>
      </c>
      <c r="Q202" s="18">
        <v>2901.0160000000001</v>
      </c>
      <c r="R202" s="18">
        <f t="shared" si="24"/>
        <v>17049271.032000002</v>
      </c>
      <c r="S202" s="395" t="s">
        <v>4975</v>
      </c>
      <c r="AA202" t="s">
        <v>25</v>
      </c>
      <c r="AJ202" s="11">
        <v>182</v>
      </c>
      <c r="AK202" s="3" t="s">
        <v>5002</v>
      </c>
      <c r="AL202" s="3">
        <v>-800000</v>
      </c>
      <c r="AM202" s="11">
        <v>7</v>
      </c>
      <c r="AN202" s="20">
        <f t="shared" si="34"/>
        <v>898</v>
      </c>
      <c r="AO202" s="37">
        <f t="shared" si="35"/>
        <v>-718400000</v>
      </c>
      <c r="AP202" s="20"/>
    </row>
    <row r="203" spans="5:47">
      <c r="G203" s="2" t="s">
        <v>6494</v>
      </c>
      <c r="H203" s="3">
        <v>974570.33942399989</v>
      </c>
      <c r="M203" s="357" t="s">
        <v>4827</v>
      </c>
      <c r="N203" s="1">
        <v>-5949277</v>
      </c>
      <c r="O203" s="370" t="s">
        <v>5355</v>
      </c>
      <c r="P203" s="370">
        <v>2374</v>
      </c>
      <c r="Q203" s="18">
        <v>2877</v>
      </c>
      <c r="R203" s="18">
        <f t="shared" ref="R203:R240" si="36">P203*Q203</f>
        <v>6829998</v>
      </c>
      <c r="S203" s="395" t="s">
        <v>4975</v>
      </c>
      <c r="AA203" t="s">
        <v>25</v>
      </c>
      <c r="AJ203" s="11">
        <v>183</v>
      </c>
      <c r="AK203" s="3" t="s">
        <v>5010</v>
      </c>
      <c r="AL203" s="3">
        <v>50000</v>
      </c>
      <c r="AM203" s="11">
        <v>2</v>
      </c>
      <c r="AN203" s="20">
        <f t="shared" si="34"/>
        <v>891</v>
      </c>
      <c r="AO203" s="37">
        <f t="shared" si="35"/>
        <v>44550000</v>
      </c>
      <c r="AP203" s="20"/>
    </row>
    <row r="204" spans="5:47">
      <c r="G204" s="2" t="s">
        <v>6495</v>
      </c>
      <c r="H204" s="3">
        <v>746198.52596400003</v>
      </c>
      <c r="M204" s="357" t="s">
        <v>4833</v>
      </c>
      <c r="N204" s="1">
        <v>-15370656</v>
      </c>
      <c r="O204" s="370" t="s">
        <v>4127</v>
      </c>
      <c r="P204" s="370">
        <v>2532</v>
      </c>
      <c r="Q204" s="18">
        <v>2757.7444</v>
      </c>
      <c r="R204" s="18">
        <f t="shared" si="36"/>
        <v>6982608.8207999999</v>
      </c>
      <c r="S204" s="395" t="s">
        <v>4975</v>
      </c>
      <c r="AJ204" s="11">
        <v>184</v>
      </c>
      <c r="AK204" s="3" t="s">
        <v>5012</v>
      </c>
      <c r="AL204" s="3">
        <v>400000</v>
      </c>
      <c r="AM204" s="11">
        <v>8</v>
      </c>
      <c r="AN204" s="20">
        <f t="shared" ref="AN204:AN213" si="37">AN205+AM204</f>
        <v>889</v>
      </c>
      <c r="AO204" s="37">
        <f t="shared" ref="AO204:AO213" si="38">AL204*AN204</f>
        <v>355600000</v>
      </c>
      <c r="AP204" s="20"/>
      <c r="AT204" t="s">
        <v>25</v>
      </c>
    </row>
    <row r="205" spans="5:47">
      <c r="G205" s="2" t="s">
        <v>6497</v>
      </c>
      <c r="H205" s="3">
        <v>416108</v>
      </c>
      <c r="M205" s="357" t="s">
        <v>4833</v>
      </c>
      <c r="N205" s="1">
        <v>4960000</v>
      </c>
      <c r="O205" s="370" t="s">
        <v>4127</v>
      </c>
      <c r="P205" s="370">
        <v>4987</v>
      </c>
      <c r="Q205" s="18">
        <v>2757.7444</v>
      </c>
      <c r="R205" s="18">
        <f t="shared" si="36"/>
        <v>13752871.322800001</v>
      </c>
      <c r="S205" s="395" t="s">
        <v>5367</v>
      </c>
      <c r="AC205" t="s">
        <v>25</v>
      </c>
      <c r="AJ205" s="11">
        <v>185</v>
      </c>
      <c r="AK205" s="3" t="s">
        <v>4988</v>
      </c>
      <c r="AL205" s="3">
        <v>-10000000</v>
      </c>
      <c r="AM205" s="11">
        <v>0</v>
      </c>
      <c r="AN205" s="20">
        <f t="shared" si="37"/>
        <v>881</v>
      </c>
      <c r="AO205" s="37">
        <f t="shared" si="38"/>
        <v>-8810000000</v>
      </c>
      <c r="AP205" s="20" t="s">
        <v>4835</v>
      </c>
    </row>
    <row r="206" spans="5:47">
      <c r="G206" s="2" t="s">
        <v>6508</v>
      </c>
      <c r="H206" s="3">
        <v>361620.57555000001</v>
      </c>
      <c r="M206" s="357" t="s">
        <v>4840</v>
      </c>
      <c r="N206" s="1">
        <v>10000000</v>
      </c>
      <c r="O206" s="370" t="s">
        <v>4127</v>
      </c>
      <c r="P206" s="370">
        <v>997</v>
      </c>
      <c r="Q206" s="18">
        <v>2757.7444</v>
      </c>
      <c r="R206" s="18">
        <f t="shared" si="36"/>
        <v>2749471.1668000002</v>
      </c>
      <c r="S206" s="395" t="s">
        <v>5368</v>
      </c>
      <c r="AA206" t="s">
        <v>25</v>
      </c>
      <c r="AJ206" s="11">
        <v>186</v>
      </c>
      <c r="AK206" s="3" t="s">
        <v>4988</v>
      </c>
      <c r="AL206" s="3">
        <v>3000000</v>
      </c>
      <c r="AM206" s="11">
        <v>1</v>
      </c>
      <c r="AN206" s="20">
        <f t="shared" si="37"/>
        <v>881</v>
      </c>
      <c r="AO206" s="37">
        <f t="shared" si="38"/>
        <v>2643000000</v>
      </c>
      <c r="AP206" s="20"/>
    </row>
    <row r="207" spans="5:47">
      <c r="G207" s="2" t="s">
        <v>6509</v>
      </c>
      <c r="H207" s="3">
        <v>761310.51884999999</v>
      </c>
      <c r="M207" s="357" t="s">
        <v>4849</v>
      </c>
      <c r="N207" s="1">
        <v>-40570100</v>
      </c>
      <c r="O207" s="370" t="s">
        <v>5372</v>
      </c>
      <c r="P207" s="370">
        <v>2874</v>
      </c>
      <c r="Q207" s="18">
        <v>2613.1284000000001</v>
      </c>
      <c r="R207" s="18">
        <f t="shared" si="36"/>
        <v>7510131.0216000006</v>
      </c>
      <c r="S207" s="395" t="s">
        <v>4975</v>
      </c>
      <c r="AJ207" s="11">
        <v>187</v>
      </c>
      <c r="AK207" s="3" t="s">
        <v>5024</v>
      </c>
      <c r="AL207" s="3">
        <v>500000</v>
      </c>
      <c r="AM207" s="11">
        <v>23</v>
      </c>
      <c r="AN207" s="20">
        <f t="shared" si="37"/>
        <v>880</v>
      </c>
      <c r="AO207" s="37">
        <f t="shared" si="38"/>
        <v>440000000</v>
      </c>
      <c r="AP207" s="20"/>
      <c r="AT207" t="s">
        <v>25</v>
      </c>
    </row>
    <row r="208" spans="5:47">
      <c r="G208" s="2" t="s">
        <v>6510</v>
      </c>
      <c r="H208" s="3">
        <v>3047100.3041699999</v>
      </c>
      <c r="M208" s="357" t="s">
        <v>4850</v>
      </c>
      <c r="N208" s="1">
        <v>1000000</v>
      </c>
      <c r="O208" s="370" t="s">
        <v>5377</v>
      </c>
      <c r="P208" s="370">
        <v>2847</v>
      </c>
      <c r="Q208" s="18">
        <v>2556.3841000000002</v>
      </c>
      <c r="R208" s="18">
        <f t="shared" si="36"/>
        <v>7278025.5327000003</v>
      </c>
      <c r="S208" s="395" t="s">
        <v>4975</v>
      </c>
      <c r="AB208" t="s">
        <v>25</v>
      </c>
      <c r="AJ208" s="11">
        <v>188</v>
      </c>
      <c r="AK208" s="3" t="s">
        <v>5045</v>
      </c>
      <c r="AL208" s="3">
        <v>101268</v>
      </c>
      <c r="AM208" s="11">
        <v>1</v>
      </c>
      <c r="AN208" s="20">
        <f t="shared" si="37"/>
        <v>857</v>
      </c>
      <c r="AO208" s="37">
        <f t="shared" si="38"/>
        <v>86786676</v>
      </c>
      <c r="AP208" s="20"/>
      <c r="AT208" t="s">
        <v>25</v>
      </c>
    </row>
    <row r="209" spans="7:48">
      <c r="G209" s="2" t="s">
        <v>6512</v>
      </c>
      <c r="H209" s="3">
        <v>2437078.451072</v>
      </c>
      <c r="M209" s="357" t="s">
        <v>4857</v>
      </c>
      <c r="N209" s="1">
        <v>400000</v>
      </c>
      <c r="O209" s="370" t="s">
        <v>5377</v>
      </c>
      <c r="P209" s="370">
        <v>1222</v>
      </c>
      <c r="Q209" s="18">
        <v>2556.3841000000002</v>
      </c>
      <c r="R209" s="18">
        <f t="shared" si="36"/>
        <v>3123901.3702000002</v>
      </c>
      <c r="S209" s="395" t="s">
        <v>5378</v>
      </c>
      <c r="AJ209" s="11">
        <v>189</v>
      </c>
      <c r="AK209" s="3" t="s">
        <v>5048</v>
      </c>
      <c r="AL209" s="3">
        <v>101000</v>
      </c>
      <c r="AM209" s="11">
        <v>34</v>
      </c>
      <c r="AN209" s="20">
        <f t="shared" si="37"/>
        <v>856</v>
      </c>
      <c r="AO209" s="37">
        <f t="shared" si="38"/>
        <v>86456000</v>
      </c>
      <c r="AP209" s="20"/>
      <c r="AR209" t="s">
        <v>25</v>
      </c>
      <c r="AV209" t="s">
        <v>25</v>
      </c>
    </row>
    <row r="210" spans="7:48">
      <c r="G210" s="2" t="s">
        <v>6586</v>
      </c>
      <c r="H210" s="3">
        <v>7747639.4065840002</v>
      </c>
      <c r="M210" s="357" t="s">
        <v>4870</v>
      </c>
      <c r="N210" s="1">
        <v>120000</v>
      </c>
      <c r="O210" s="370" t="s">
        <v>5385</v>
      </c>
      <c r="P210" s="370">
        <v>73</v>
      </c>
      <c r="Q210" s="18">
        <v>2672.0459999999998</v>
      </c>
      <c r="R210" s="18">
        <f t="shared" si="36"/>
        <v>195059.35799999998</v>
      </c>
      <c r="S210" s="395" t="s">
        <v>4975</v>
      </c>
      <c r="AC210" t="s">
        <v>25</v>
      </c>
      <c r="AJ210" s="11">
        <v>190</v>
      </c>
      <c r="AK210" s="3" t="s">
        <v>5073</v>
      </c>
      <c r="AL210" s="3">
        <v>-488602</v>
      </c>
      <c r="AM210" s="11">
        <v>5</v>
      </c>
      <c r="AN210" s="20">
        <f t="shared" si="37"/>
        <v>822</v>
      </c>
      <c r="AO210" s="37">
        <f t="shared" si="38"/>
        <v>-401630844</v>
      </c>
      <c r="AP210" s="20"/>
      <c r="AT210" t="s">
        <v>25</v>
      </c>
    </row>
    <row r="211" spans="7:48">
      <c r="G211" s="2" t="s">
        <v>6587</v>
      </c>
      <c r="H211" s="3">
        <v>5584918.3522559991</v>
      </c>
      <c r="M211" s="357" t="s">
        <v>4862</v>
      </c>
      <c r="N211" s="1">
        <v>500000</v>
      </c>
      <c r="O211" s="370" t="s">
        <v>5389</v>
      </c>
      <c r="P211" s="370">
        <v>332</v>
      </c>
      <c r="Q211" s="18">
        <v>2598.1260000000002</v>
      </c>
      <c r="R211" s="18">
        <f t="shared" si="36"/>
        <v>862577.83200000005</v>
      </c>
      <c r="S211" s="395" t="s">
        <v>5390</v>
      </c>
      <c r="AJ211" s="11">
        <v>191</v>
      </c>
      <c r="AK211" s="3" t="s">
        <v>5087</v>
      </c>
      <c r="AL211" s="3">
        <v>360000</v>
      </c>
      <c r="AM211" s="11">
        <v>10</v>
      </c>
      <c r="AN211" s="20">
        <f t="shared" si="37"/>
        <v>817</v>
      </c>
      <c r="AO211" s="37">
        <f t="shared" si="38"/>
        <v>294120000</v>
      </c>
      <c r="AP211" s="20"/>
      <c r="AT211" t="s">
        <v>25</v>
      </c>
    </row>
    <row r="212" spans="7:48">
      <c r="G212" s="2" t="s">
        <v>6588</v>
      </c>
      <c r="H212" s="3">
        <v>573666.77206800005</v>
      </c>
      <c r="M212" s="357" t="s">
        <v>4886</v>
      </c>
      <c r="N212" s="1">
        <v>744000</v>
      </c>
      <c r="O212" s="370" t="s">
        <v>5391</v>
      </c>
      <c r="P212" s="370">
        <v>346</v>
      </c>
      <c r="Q212" s="18">
        <v>2659.8510000000001</v>
      </c>
      <c r="R212" s="18">
        <f t="shared" si="36"/>
        <v>920308.446</v>
      </c>
      <c r="S212" s="395" t="s">
        <v>4975</v>
      </c>
      <c r="AA212" t="s">
        <v>25</v>
      </c>
      <c r="AJ212" s="11">
        <v>192</v>
      </c>
      <c r="AK212" s="3" t="s">
        <v>5097</v>
      </c>
      <c r="AL212" s="3">
        <v>-3600000</v>
      </c>
      <c r="AM212" s="11">
        <v>4</v>
      </c>
      <c r="AN212" s="20">
        <f t="shared" si="37"/>
        <v>807</v>
      </c>
      <c r="AO212" s="37">
        <f t="shared" si="38"/>
        <v>-2905200000</v>
      </c>
      <c r="AP212" s="20"/>
      <c r="AU212" t="s">
        <v>25</v>
      </c>
    </row>
    <row r="213" spans="7:48">
      <c r="G213" s="2" t="s">
        <v>6591</v>
      </c>
      <c r="H213" s="3">
        <v>1870018.6536539998</v>
      </c>
      <c r="M213" s="357" t="s">
        <v>4891</v>
      </c>
      <c r="N213" s="1">
        <v>65000</v>
      </c>
      <c r="O213" s="370" t="s">
        <v>5392</v>
      </c>
      <c r="P213" s="370">
        <v>1722</v>
      </c>
      <c r="Q213" s="18">
        <v>2692.1079220000001</v>
      </c>
      <c r="R213" s="18">
        <f t="shared" si="36"/>
        <v>4635809.8416840006</v>
      </c>
      <c r="S213" s="395" t="s">
        <v>4975</v>
      </c>
      <c r="AJ213" s="11">
        <v>193</v>
      </c>
      <c r="AK213" s="3" t="s">
        <v>5103</v>
      </c>
      <c r="AL213" s="3">
        <v>-1000000</v>
      </c>
      <c r="AM213" s="11">
        <v>5</v>
      </c>
      <c r="AN213" s="20">
        <f t="shared" si="37"/>
        <v>803</v>
      </c>
      <c r="AO213" s="37">
        <f t="shared" si="38"/>
        <v>-803000000</v>
      </c>
      <c r="AP213" s="20"/>
      <c r="AT213" t="s">
        <v>25</v>
      </c>
    </row>
    <row r="214" spans="7:48">
      <c r="G214" s="2" t="s">
        <v>6595</v>
      </c>
      <c r="H214" s="3">
        <v>117222.435308</v>
      </c>
      <c r="M214" s="357" t="s">
        <v>4863</v>
      </c>
      <c r="N214" s="1">
        <v>-14053702</v>
      </c>
      <c r="O214" s="370" t="s">
        <v>5394</v>
      </c>
      <c r="P214" s="370">
        <v>106</v>
      </c>
      <c r="Q214" s="18">
        <v>2725.4</v>
      </c>
      <c r="R214" s="18">
        <f t="shared" si="36"/>
        <v>288892.40000000002</v>
      </c>
      <c r="S214" s="395" t="s">
        <v>422</v>
      </c>
      <c r="AA214" t="s">
        <v>25</v>
      </c>
      <c r="AJ214" s="11">
        <v>194</v>
      </c>
      <c r="AK214" s="3" t="s">
        <v>5108</v>
      </c>
      <c r="AL214" s="3">
        <v>360000</v>
      </c>
      <c r="AM214" s="11">
        <v>2</v>
      </c>
      <c r="AN214" s="20">
        <f t="shared" ref="AN214:AN281" si="39">AN215+AM214</f>
        <v>798</v>
      </c>
      <c r="AO214" s="37">
        <f t="shared" ref="AO214:AO281" si="40">AL214*AN214</f>
        <v>287280000</v>
      </c>
      <c r="AP214" s="20"/>
      <c r="AS214" t="s">
        <v>25</v>
      </c>
    </row>
    <row r="215" spans="7:48">
      <c r="G215" s="2" t="s">
        <v>6596</v>
      </c>
      <c r="H215" s="3">
        <v>1940857.6749900002</v>
      </c>
      <c r="M215" s="357" t="s">
        <v>4926</v>
      </c>
      <c r="N215" s="1">
        <v>3555678</v>
      </c>
      <c r="O215" s="370" t="s">
        <v>5415</v>
      </c>
      <c r="P215" s="370">
        <v>25901</v>
      </c>
      <c r="Q215" s="18">
        <v>2258.9090000000001</v>
      </c>
      <c r="R215" s="18">
        <f t="shared" si="36"/>
        <v>58508002.009000003</v>
      </c>
      <c r="S215" s="395" t="s">
        <v>4975</v>
      </c>
      <c r="AA215" t="s">
        <v>25</v>
      </c>
      <c r="AJ215" s="11">
        <v>195</v>
      </c>
      <c r="AK215" s="3" t="s">
        <v>5113</v>
      </c>
      <c r="AL215" s="3">
        <v>2000000</v>
      </c>
      <c r="AM215" s="11">
        <v>1</v>
      </c>
      <c r="AN215" s="20">
        <f t="shared" si="39"/>
        <v>796</v>
      </c>
      <c r="AO215" s="37">
        <f t="shared" si="40"/>
        <v>1592000000</v>
      </c>
      <c r="AP215" s="20"/>
    </row>
    <row r="216" spans="7:48">
      <c r="G216" s="2" t="s">
        <v>6615</v>
      </c>
      <c r="H216" s="3">
        <v>195324.59944799999</v>
      </c>
      <c r="M216" s="357" t="s">
        <v>4930</v>
      </c>
      <c r="N216" s="1">
        <v>3495</v>
      </c>
      <c r="O216" s="370" t="s">
        <v>5417</v>
      </c>
      <c r="P216" s="370">
        <v>951</v>
      </c>
      <c r="Q216" s="18">
        <v>2361.2150799999999</v>
      </c>
      <c r="R216" s="18">
        <f t="shared" si="36"/>
        <v>2245515.5410799999</v>
      </c>
      <c r="S216" s="395" t="s">
        <v>4975</v>
      </c>
      <c r="AJ216" s="11">
        <v>196</v>
      </c>
      <c r="AK216" s="3" t="s">
        <v>5115</v>
      </c>
      <c r="AL216" s="3">
        <v>20000000</v>
      </c>
      <c r="AM216" s="11">
        <v>0</v>
      </c>
      <c r="AN216" s="20">
        <f t="shared" si="39"/>
        <v>795</v>
      </c>
      <c r="AO216" s="37">
        <f t="shared" si="40"/>
        <v>15900000000</v>
      </c>
      <c r="AP216" s="20" t="s">
        <v>4559</v>
      </c>
      <c r="AT216" t="s">
        <v>25</v>
      </c>
    </row>
    <row r="217" spans="7:48">
      <c r="G217" s="2" t="s">
        <v>6615</v>
      </c>
      <c r="H217" s="3">
        <v>20318581.172208</v>
      </c>
      <c r="M217" s="357" t="s">
        <v>4932</v>
      </c>
      <c r="N217" s="1">
        <v>6000000</v>
      </c>
      <c r="O217" s="370" t="s">
        <v>5419</v>
      </c>
      <c r="P217" s="370">
        <v>7622</v>
      </c>
      <c r="Q217" s="18">
        <v>2414.6810999999998</v>
      </c>
      <c r="R217" s="18">
        <f t="shared" si="36"/>
        <v>18404699.3442</v>
      </c>
      <c r="S217" s="395" t="s">
        <v>4975</v>
      </c>
      <c r="AJ217" s="11">
        <v>197</v>
      </c>
      <c r="AK217" s="3" t="s">
        <v>5115</v>
      </c>
      <c r="AL217" s="3">
        <v>-4700000</v>
      </c>
      <c r="AM217" s="11">
        <v>1</v>
      </c>
      <c r="AN217" s="20">
        <f t="shared" si="39"/>
        <v>795</v>
      </c>
      <c r="AO217" s="37">
        <f t="shared" si="40"/>
        <v>-3736500000</v>
      </c>
      <c r="AP217" s="20"/>
    </row>
    <row r="218" spans="7:48">
      <c r="G218" s="2" t="s">
        <v>6617</v>
      </c>
      <c r="H218" s="3">
        <v>2893976.613864</v>
      </c>
      <c r="M218" s="357" t="s">
        <v>4933</v>
      </c>
      <c r="N218" s="1">
        <v>17220</v>
      </c>
      <c r="O218" s="370" t="s">
        <v>5419</v>
      </c>
      <c r="P218" s="370">
        <v>-282</v>
      </c>
      <c r="Q218" s="18">
        <v>2414.6810999999998</v>
      </c>
      <c r="R218" s="18">
        <f t="shared" si="36"/>
        <v>-680940.07019999996</v>
      </c>
      <c r="S218" s="395" t="s">
        <v>5420</v>
      </c>
      <c r="AJ218" s="11">
        <v>198</v>
      </c>
      <c r="AK218" s="3" t="s">
        <v>5118</v>
      </c>
      <c r="AL218" s="3">
        <v>3000000</v>
      </c>
      <c r="AM218" s="11">
        <v>4</v>
      </c>
      <c r="AN218" s="20">
        <f t="shared" si="39"/>
        <v>794</v>
      </c>
      <c r="AO218" s="37">
        <f t="shared" si="40"/>
        <v>2382000000</v>
      </c>
      <c r="AP218" s="20"/>
      <c r="AU218" t="s">
        <v>25</v>
      </c>
    </row>
    <row r="219" spans="7:48">
      <c r="G219" s="2" t="s">
        <v>6618</v>
      </c>
      <c r="H219" s="3">
        <v>348175.86130300001</v>
      </c>
      <c r="M219" s="357" t="s">
        <v>4935</v>
      </c>
      <c r="N219" s="1">
        <v>8249</v>
      </c>
      <c r="O219" s="370" t="s">
        <v>5419</v>
      </c>
      <c r="P219" s="370">
        <v>20162</v>
      </c>
      <c r="Q219" s="18">
        <v>2414.6810999999998</v>
      </c>
      <c r="R219" s="18">
        <f t="shared" si="36"/>
        <v>48684800.338199995</v>
      </c>
      <c r="S219" s="395" t="s">
        <v>5421</v>
      </c>
      <c r="AJ219" s="11">
        <v>199</v>
      </c>
      <c r="AK219" s="3" t="s">
        <v>5120</v>
      </c>
      <c r="AL219" s="3">
        <v>1500000</v>
      </c>
      <c r="AM219" s="11">
        <v>1</v>
      </c>
      <c r="AN219" s="20">
        <f t="shared" si="39"/>
        <v>790</v>
      </c>
      <c r="AO219" s="37">
        <f t="shared" si="40"/>
        <v>1185000000</v>
      </c>
      <c r="AP219" s="20"/>
    </row>
    <row r="220" spans="7:48">
      <c r="G220" s="2" t="s">
        <v>6620</v>
      </c>
      <c r="H220" s="3">
        <v>315280.48550000001</v>
      </c>
      <c r="M220" s="357" t="s">
        <v>4935</v>
      </c>
      <c r="N220" s="1">
        <v>6937</v>
      </c>
      <c r="O220" s="370" t="s">
        <v>5419</v>
      </c>
      <c r="P220" s="370">
        <v>-20162</v>
      </c>
      <c r="Q220" s="18">
        <v>2414.6810999999998</v>
      </c>
      <c r="R220" s="18">
        <f t="shared" si="36"/>
        <v>-48684800.338199995</v>
      </c>
      <c r="S220" s="395" t="s">
        <v>690</v>
      </c>
      <c r="AJ220" s="11">
        <v>200</v>
      </c>
      <c r="AK220" s="3" t="s">
        <v>5122</v>
      </c>
      <c r="AL220" s="3">
        <v>30000000</v>
      </c>
      <c r="AM220" s="11">
        <v>33</v>
      </c>
      <c r="AN220" s="20">
        <f t="shared" si="39"/>
        <v>789</v>
      </c>
      <c r="AO220" s="37">
        <f t="shared" si="40"/>
        <v>23670000000</v>
      </c>
      <c r="AP220" s="20"/>
    </row>
    <row r="221" spans="7:48">
      <c r="G221" s="2" t="s">
        <v>6624</v>
      </c>
      <c r="H221" s="3">
        <v>184045.65498799999</v>
      </c>
      <c r="M221" s="357" t="s">
        <v>4938</v>
      </c>
      <c r="N221" s="1">
        <v>4046552</v>
      </c>
      <c r="O221" s="370" t="s">
        <v>5422</v>
      </c>
      <c r="P221" s="370">
        <v>977</v>
      </c>
      <c r="Q221" s="18">
        <v>2317.971947</v>
      </c>
      <c r="R221" s="18">
        <f t="shared" si="36"/>
        <v>2264658.5922190002</v>
      </c>
      <c r="S221" s="395" t="s">
        <v>4975</v>
      </c>
      <c r="AJ221" s="11">
        <v>201</v>
      </c>
      <c r="AK221" s="3" t="s">
        <v>5196</v>
      </c>
      <c r="AL221" s="3">
        <v>3000000</v>
      </c>
      <c r="AM221" s="11">
        <v>1</v>
      </c>
      <c r="AN221" s="20">
        <f t="shared" si="39"/>
        <v>756</v>
      </c>
      <c r="AO221" s="37">
        <f t="shared" si="40"/>
        <v>2268000000</v>
      </c>
      <c r="AP221" s="20"/>
    </row>
    <row r="222" spans="7:48">
      <c r="G222" s="280" t="s">
        <v>6636</v>
      </c>
      <c r="H222" s="281">
        <v>3224064.2855249997</v>
      </c>
      <c r="M222" s="357" t="s">
        <v>4945</v>
      </c>
      <c r="N222" s="1">
        <v>-3884943</v>
      </c>
      <c r="O222" s="370" t="s">
        <v>5423</v>
      </c>
      <c r="P222" s="370">
        <v>10280</v>
      </c>
      <c r="Q222" s="18">
        <v>2225.429357</v>
      </c>
      <c r="R222" s="18">
        <f t="shared" si="36"/>
        <v>22877413.789960001</v>
      </c>
      <c r="S222" s="395" t="s">
        <v>4975</v>
      </c>
      <c r="AJ222" s="11">
        <v>202</v>
      </c>
      <c r="AK222" s="3" t="s">
        <v>5197</v>
      </c>
      <c r="AL222" s="3">
        <v>7000000</v>
      </c>
      <c r="AM222" s="11">
        <v>4</v>
      </c>
      <c r="AN222" s="20">
        <f t="shared" si="39"/>
        <v>755</v>
      </c>
      <c r="AO222" s="37">
        <f t="shared" si="40"/>
        <v>5285000000</v>
      </c>
      <c r="AP222" s="20"/>
    </row>
    <row r="223" spans="7:48">
      <c r="G223" s="2" t="s">
        <v>6637</v>
      </c>
      <c r="H223" s="3">
        <v>145302.32212200001</v>
      </c>
      <c r="M223" s="357" t="s">
        <v>4971</v>
      </c>
      <c r="N223" s="1">
        <v>6022</v>
      </c>
      <c r="O223" s="370" t="s">
        <v>5424</v>
      </c>
      <c r="P223" s="370">
        <v>1022</v>
      </c>
      <c r="Q223" s="18">
        <v>2311.6824240000001</v>
      </c>
      <c r="R223" s="18">
        <f t="shared" si="36"/>
        <v>2362539.4373280001</v>
      </c>
      <c r="S223" s="395" t="s">
        <v>4975</v>
      </c>
      <c r="AJ223" s="11">
        <v>203</v>
      </c>
      <c r="AK223" s="3" t="s">
        <v>5205</v>
      </c>
      <c r="AL223" s="3">
        <v>8800000</v>
      </c>
      <c r="AM223" s="11">
        <v>2</v>
      </c>
      <c r="AN223" s="20">
        <f t="shared" si="39"/>
        <v>751</v>
      </c>
      <c r="AO223" s="37">
        <f t="shared" si="40"/>
        <v>6608800000</v>
      </c>
      <c r="AP223" s="20"/>
    </row>
    <row r="224" spans="7:48" ht="28.5" customHeight="1">
      <c r="G224" s="2" t="s">
        <v>6638</v>
      </c>
      <c r="H224" s="3">
        <v>7184125.4612399992</v>
      </c>
      <c r="M224" s="357" t="s">
        <v>4974</v>
      </c>
      <c r="N224" s="1">
        <v>400000</v>
      </c>
      <c r="O224" s="370" t="s">
        <v>5425</v>
      </c>
      <c r="P224" s="370">
        <v>6818</v>
      </c>
      <c r="Q224" s="18">
        <v>2352.988656</v>
      </c>
      <c r="R224" s="18">
        <f t="shared" si="36"/>
        <v>16042676.656608</v>
      </c>
      <c r="S224" s="395" t="s">
        <v>4975</v>
      </c>
      <c r="AJ224" s="11">
        <v>204</v>
      </c>
      <c r="AK224" s="3" t="s">
        <v>5210</v>
      </c>
      <c r="AL224" s="3">
        <v>40000000</v>
      </c>
      <c r="AM224" s="11">
        <v>8</v>
      </c>
      <c r="AN224" s="20">
        <f t="shared" si="39"/>
        <v>749</v>
      </c>
      <c r="AO224" s="37">
        <f t="shared" si="40"/>
        <v>29960000000</v>
      </c>
      <c r="AP224" s="20" t="s">
        <v>4559</v>
      </c>
    </row>
    <row r="225" spans="7:47">
      <c r="G225" s="2" t="s">
        <v>6640</v>
      </c>
      <c r="H225" s="3">
        <v>8260484.4756000005</v>
      </c>
      <c r="M225" s="357" t="s">
        <v>4974</v>
      </c>
      <c r="N225" s="1">
        <v>92847</v>
      </c>
      <c r="O225" s="370" t="s">
        <v>5426</v>
      </c>
      <c r="P225" s="370">
        <v>8023</v>
      </c>
      <c r="Q225" s="18">
        <v>2293.8167079999998</v>
      </c>
      <c r="R225" s="18">
        <f t="shared" si="36"/>
        <v>18403291.448284</v>
      </c>
      <c r="S225" s="395" t="s">
        <v>4975</v>
      </c>
      <c r="AJ225" s="11">
        <v>205</v>
      </c>
      <c r="AK225" s="3" t="s">
        <v>5223</v>
      </c>
      <c r="AL225" s="3">
        <v>400000</v>
      </c>
      <c r="AM225" s="11">
        <v>17</v>
      </c>
      <c r="AN225" s="20">
        <f t="shared" si="39"/>
        <v>741</v>
      </c>
      <c r="AO225" s="37">
        <f t="shared" si="40"/>
        <v>296400000</v>
      </c>
      <c r="AP225" s="20"/>
      <c r="AT225" t="s">
        <v>25</v>
      </c>
    </row>
    <row r="226" spans="7:47">
      <c r="G226" s="2" t="s">
        <v>6641</v>
      </c>
      <c r="H226" s="3">
        <v>2791202.6544840001</v>
      </c>
      <c r="M226" s="357" t="s">
        <v>4978</v>
      </c>
      <c r="N226" s="1">
        <v>-100000</v>
      </c>
      <c r="O226" s="370" t="s">
        <v>5427</v>
      </c>
      <c r="P226" s="370">
        <v>4666</v>
      </c>
      <c r="Q226" s="18">
        <v>2263.4906230000001</v>
      </c>
      <c r="R226" s="18">
        <f t="shared" si="36"/>
        <v>10561447.246918</v>
      </c>
      <c r="S226" s="395" t="s">
        <v>4975</v>
      </c>
      <c r="AJ226" s="11">
        <v>206</v>
      </c>
      <c r="AK226" s="3" t="s">
        <v>5243</v>
      </c>
      <c r="AL226" s="3">
        <v>-20000000</v>
      </c>
      <c r="AM226" s="11">
        <v>18</v>
      </c>
      <c r="AN226" s="20">
        <f t="shared" si="39"/>
        <v>724</v>
      </c>
      <c r="AO226" s="37">
        <f t="shared" si="40"/>
        <v>-14480000000</v>
      </c>
      <c r="AP226" s="20" t="s">
        <v>4835</v>
      </c>
    </row>
    <row r="227" spans="7:47">
      <c r="G227" s="2" t="s">
        <v>6642</v>
      </c>
      <c r="H227" s="3">
        <v>248142.0681</v>
      </c>
      <c r="M227" s="357" t="s">
        <v>4983</v>
      </c>
      <c r="N227" s="1">
        <v>10000000</v>
      </c>
      <c r="O227" s="370" t="s">
        <v>5428</v>
      </c>
      <c r="P227" s="370">
        <v>542</v>
      </c>
      <c r="Q227" s="18">
        <v>2263.4906230000001</v>
      </c>
      <c r="R227" s="18">
        <f t="shared" si="36"/>
        <v>1226811.9176660001</v>
      </c>
      <c r="S227" s="395" t="s">
        <v>4975</v>
      </c>
      <c r="AJ227" s="11">
        <v>207</v>
      </c>
      <c r="AK227" s="3" t="s">
        <v>5257</v>
      </c>
      <c r="AL227" s="3">
        <v>3006000</v>
      </c>
      <c r="AM227" s="11">
        <v>19</v>
      </c>
      <c r="AN227" s="20">
        <f t="shared" si="39"/>
        <v>706</v>
      </c>
      <c r="AO227" s="37">
        <f t="shared" si="40"/>
        <v>2122236000</v>
      </c>
      <c r="AP227" s="20"/>
    </row>
    <row r="228" spans="7:47">
      <c r="G228" s="2" t="s">
        <v>6653</v>
      </c>
      <c r="H228" s="3">
        <v>3374278.1910000001</v>
      </c>
      <c r="M228" s="357" t="s">
        <v>4987</v>
      </c>
      <c r="N228" s="1">
        <v>-400000</v>
      </c>
      <c r="O228" s="370" t="s">
        <v>5429</v>
      </c>
      <c r="P228" s="370">
        <v>16629</v>
      </c>
      <c r="Q228" s="18">
        <v>2367.7887540000002</v>
      </c>
      <c r="R228" s="18">
        <f t="shared" si="36"/>
        <v>39373959.190266006</v>
      </c>
      <c r="S228" s="395" t="s">
        <v>4975</v>
      </c>
      <c r="AJ228" s="11">
        <v>208</v>
      </c>
      <c r="AK228" s="3" t="s">
        <v>5158</v>
      </c>
      <c r="AL228" s="3">
        <v>-130382924</v>
      </c>
      <c r="AM228" s="11">
        <v>0</v>
      </c>
      <c r="AN228" s="20">
        <f t="shared" si="39"/>
        <v>687</v>
      </c>
      <c r="AO228" s="37">
        <f t="shared" si="40"/>
        <v>-89573068788</v>
      </c>
      <c r="AP228" s="20" t="s">
        <v>5280</v>
      </c>
      <c r="AT228" t="s">
        <v>25</v>
      </c>
    </row>
    <row r="229" spans="7:47">
      <c r="G229" s="2" t="s">
        <v>6674</v>
      </c>
      <c r="H229" s="3">
        <v>2616960</v>
      </c>
      <c r="M229" s="357" t="s">
        <v>4989</v>
      </c>
      <c r="N229" s="1">
        <v>5649</v>
      </c>
      <c r="O229" s="370" t="s">
        <v>5431</v>
      </c>
      <c r="P229" s="370">
        <v>11765</v>
      </c>
      <c r="Q229" s="18">
        <v>2354.7375320000001</v>
      </c>
      <c r="R229" s="18">
        <f t="shared" si="36"/>
        <v>27703487.063980002</v>
      </c>
      <c r="S229" s="395" t="s">
        <v>4975</v>
      </c>
      <c r="AJ229" s="11">
        <v>209</v>
      </c>
      <c r="AK229" s="3" t="s">
        <v>5158</v>
      </c>
      <c r="AL229" s="3">
        <v>125000000</v>
      </c>
      <c r="AM229" s="11">
        <v>1</v>
      </c>
      <c r="AN229" s="20">
        <f t="shared" si="39"/>
        <v>687</v>
      </c>
      <c r="AO229" s="37">
        <f t="shared" si="40"/>
        <v>85875000000</v>
      </c>
      <c r="AP229" s="20"/>
      <c r="AT229" t="s">
        <v>25</v>
      </c>
    </row>
    <row r="230" spans="7:47">
      <c r="G230" s="2" t="s">
        <v>6680</v>
      </c>
      <c r="H230" s="3">
        <v>253557.36216800002</v>
      </c>
      <c r="M230" s="357" t="s">
        <v>4990</v>
      </c>
      <c r="N230" s="1">
        <v>460000</v>
      </c>
      <c r="O230" s="370" t="s">
        <v>5432</v>
      </c>
      <c r="P230" s="370">
        <v>3672</v>
      </c>
      <c r="Q230" s="18">
        <v>2379.873826</v>
      </c>
      <c r="R230" s="18">
        <f t="shared" si="36"/>
        <v>8738896.6890719999</v>
      </c>
      <c r="S230" s="395" t="s">
        <v>4975</v>
      </c>
      <c r="AJ230" s="11">
        <v>210</v>
      </c>
      <c r="AK230" s="3" t="s">
        <v>5279</v>
      </c>
      <c r="AL230" s="3">
        <v>7200000</v>
      </c>
      <c r="AM230" s="11">
        <v>15</v>
      </c>
      <c r="AN230" s="20">
        <f t="shared" si="39"/>
        <v>686</v>
      </c>
      <c r="AO230" s="37">
        <f t="shared" si="40"/>
        <v>4939200000</v>
      </c>
      <c r="AP230" s="20"/>
      <c r="AS230" t="s">
        <v>25</v>
      </c>
      <c r="AU230" t="s">
        <v>25</v>
      </c>
    </row>
    <row r="231" spans="7:47">
      <c r="G231" s="2" t="s">
        <v>6682</v>
      </c>
      <c r="H231" s="3">
        <v>933193.93063399999</v>
      </c>
      <c r="M231" s="357" t="s">
        <v>4990</v>
      </c>
      <c r="N231" s="1">
        <v>1300000</v>
      </c>
      <c r="O231" s="370" t="s">
        <v>4100</v>
      </c>
      <c r="P231" s="370">
        <v>140</v>
      </c>
      <c r="Q231" s="18">
        <v>2487.154767</v>
      </c>
      <c r="R231" s="18">
        <f t="shared" si="36"/>
        <v>348201.66738</v>
      </c>
      <c r="S231" s="395" t="s">
        <v>4975</v>
      </c>
      <c r="AB231" t="s">
        <v>25</v>
      </c>
      <c r="AJ231" s="11">
        <v>211</v>
      </c>
      <c r="AK231" s="3" t="s">
        <v>5296</v>
      </c>
      <c r="AL231" s="3">
        <v>2050000</v>
      </c>
      <c r="AM231" s="11">
        <v>7</v>
      </c>
      <c r="AN231" s="20">
        <f t="shared" si="39"/>
        <v>671</v>
      </c>
      <c r="AO231" s="37">
        <f t="shared" si="40"/>
        <v>1375550000</v>
      </c>
      <c r="AP231" s="20"/>
      <c r="AT231" t="s">
        <v>25</v>
      </c>
      <c r="AU231" t="s">
        <v>25</v>
      </c>
    </row>
    <row r="232" spans="7:47">
      <c r="G232" s="2" t="s">
        <v>6683</v>
      </c>
      <c r="H232" s="3">
        <v>1191707.1852839999</v>
      </c>
      <c r="M232" s="357" t="s">
        <v>912</v>
      </c>
      <c r="N232" s="1">
        <v>7300000</v>
      </c>
      <c r="O232" s="370" t="s">
        <v>5433</v>
      </c>
      <c r="P232" s="370">
        <v>1616</v>
      </c>
      <c r="Q232" s="18">
        <v>2573.0760479999999</v>
      </c>
      <c r="R232" s="18">
        <f t="shared" si="36"/>
        <v>4158090.8935679998</v>
      </c>
      <c r="S232" s="395" t="s">
        <v>4975</v>
      </c>
      <c r="AJ232" s="11">
        <v>212</v>
      </c>
      <c r="AK232" s="3" t="s">
        <v>5306</v>
      </c>
      <c r="AL232" s="3">
        <v>50000000</v>
      </c>
      <c r="AM232" s="11">
        <v>24</v>
      </c>
      <c r="AN232" s="20">
        <f t="shared" si="39"/>
        <v>664</v>
      </c>
      <c r="AO232" s="37">
        <f t="shared" si="40"/>
        <v>33200000000</v>
      </c>
      <c r="AP232" s="20" t="s">
        <v>4559</v>
      </c>
    </row>
    <row r="233" spans="7:47">
      <c r="G233" s="2" t="s">
        <v>6684</v>
      </c>
      <c r="H233" s="3">
        <v>2538812.595222</v>
      </c>
      <c r="M233" s="357" t="s">
        <v>4171</v>
      </c>
      <c r="N233" s="1">
        <v>21203</v>
      </c>
      <c r="O233" s="189" t="s">
        <v>5434</v>
      </c>
      <c r="P233" s="189">
        <v>5682</v>
      </c>
      <c r="Q233" s="190">
        <v>2639.970566</v>
      </c>
      <c r="R233" s="190">
        <f t="shared" si="36"/>
        <v>15000312.756012</v>
      </c>
      <c r="S233" s="394" t="s">
        <v>5616</v>
      </c>
      <c r="AJ233" s="11">
        <v>213</v>
      </c>
      <c r="AK233" s="3" t="s">
        <v>5333</v>
      </c>
      <c r="AL233" s="3">
        <v>-58196600</v>
      </c>
      <c r="AM233" s="11">
        <v>22</v>
      </c>
      <c r="AN233" s="20">
        <f t="shared" si="39"/>
        <v>640</v>
      </c>
      <c r="AO233" s="37">
        <f t="shared" si="40"/>
        <v>-37245824000</v>
      </c>
      <c r="AP233" s="20" t="s">
        <v>4733</v>
      </c>
    </row>
    <row r="234" spans="7:47">
      <c r="G234" s="2" t="s">
        <v>6686</v>
      </c>
      <c r="H234" s="3">
        <v>2016850.526604</v>
      </c>
      <c r="M234" s="357" t="s">
        <v>4988</v>
      </c>
      <c r="N234" s="1">
        <v>34550</v>
      </c>
      <c r="O234" s="189" t="s">
        <v>5434</v>
      </c>
      <c r="P234" s="189">
        <v>-122</v>
      </c>
      <c r="Q234" s="190">
        <v>2639.970566</v>
      </c>
      <c r="R234" s="190">
        <f t="shared" si="36"/>
        <v>-322076.40905199997</v>
      </c>
      <c r="S234" s="394" t="s">
        <v>5643</v>
      </c>
      <c r="AJ234" s="11">
        <v>214</v>
      </c>
      <c r="AK234" s="3" t="s">
        <v>5371</v>
      </c>
      <c r="AL234" s="3">
        <v>25000</v>
      </c>
      <c r="AM234" s="11">
        <v>8</v>
      </c>
      <c r="AN234" s="20">
        <f t="shared" si="39"/>
        <v>618</v>
      </c>
      <c r="AO234" s="37">
        <f t="shared" si="40"/>
        <v>15450000</v>
      </c>
      <c r="AP234" s="20"/>
    </row>
    <row r="235" spans="7:47">
      <c r="G235" s="2" t="s">
        <v>6688</v>
      </c>
      <c r="H235" s="3">
        <v>130754.575732</v>
      </c>
      <c r="M235" s="357" t="s">
        <v>5025</v>
      </c>
      <c r="N235" s="1">
        <v>-2134406</v>
      </c>
      <c r="O235" s="370" t="s">
        <v>5434</v>
      </c>
      <c r="P235" s="370">
        <v>2272</v>
      </c>
      <c r="Q235" s="18">
        <v>2639.970566</v>
      </c>
      <c r="R235" s="18">
        <f t="shared" si="36"/>
        <v>5998013.1259519998</v>
      </c>
      <c r="S235" s="395" t="s">
        <v>5442</v>
      </c>
      <c r="AA235" t="s">
        <v>25</v>
      </c>
      <c r="AJ235" s="11">
        <v>215</v>
      </c>
      <c r="AK235" s="3" t="s">
        <v>5389</v>
      </c>
      <c r="AL235" s="3">
        <v>70000</v>
      </c>
      <c r="AM235" s="11">
        <v>6</v>
      </c>
      <c r="AN235" s="20">
        <f t="shared" si="39"/>
        <v>610</v>
      </c>
      <c r="AO235" s="37">
        <f t="shared" si="40"/>
        <v>42700000</v>
      </c>
      <c r="AP235" s="20"/>
    </row>
    <row r="236" spans="7:47">
      <c r="G236" s="2" t="s">
        <v>6689</v>
      </c>
      <c r="H236" s="3">
        <v>153756.41398000001</v>
      </c>
      <c r="M236" s="357" t="s">
        <v>5028</v>
      </c>
      <c r="N236" s="1">
        <v>-618906</v>
      </c>
      <c r="O236" s="370" t="s">
        <v>5434</v>
      </c>
      <c r="P236" s="370">
        <v>4434</v>
      </c>
      <c r="Q236" s="18">
        <v>2639.970566</v>
      </c>
      <c r="R236" s="18">
        <f t="shared" si="36"/>
        <v>11705629.489644</v>
      </c>
      <c r="S236" s="395" t="s">
        <v>5443</v>
      </c>
      <c r="AJ236" s="11">
        <v>216</v>
      </c>
      <c r="AK236" s="3" t="s">
        <v>5394</v>
      </c>
      <c r="AL236" s="3">
        <v>70000</v>
      </c>
      <c r="AM236" s="11">
        <v>1</v>
      </c>
      <c r="AN236" s="20">
        <f t="shared" si="39"/>
        <v>604</v>
      </c>
      <c r="AO236" s="37">
        <f t="shared" si="40"/>
        <v>42280000</v>
      </c>
      <c r="AP236" s="20"/>
      <c r="AT236" t="s">
        <v>25</v>
      </c>
    </row>
    <row r="237" spans="7:47">
      <c r="G237" s="2" t="s">
        <v>6694</v>
      </c>
      <c r="H237" s="3">
        <v>549780</v>
      </c>
      <c r="M237" s="357" t="s">
        <v>5070</v>
      </c>
      <c r="N237" s="1">
        <v>-54615</v>
      </c>
      <c r="O237" s="370" t="s">
        <v>5434</v>
      </c>
      <c r="P237" s="370">
        <v>2349</v>
      </c>
      <c r="Q237" s="18">
        <v>2639.970566</v>
      </c>
      <c r="R237" s="18">
        <f t="shared" si="36"/>
        <v>6201290.859534</v>
      </c>
      <c r="S237" s="395" t="s">
        <v>5444</v>
      </c>
      <c r="AJ237" s="11">
        <v>217</v>
      </c>
      <c r="AK237" s="3" t="s">
        <v>5384</v>
      </c>
      <c r="AL237" s="3">
        <v>150000</v>
      </c>
      <c r="AM237" s="11">
        <v>0</v>
      </c>
      <c r="AN237" s="20">
        <f t="shared" si="39"/>
        <v>603</v>
      </c>
      <c r="AO237" s="37">
        <f t="shared" si="40"/>
        <v>90450000</v>
      </c>
      <c r="AP237" s="20"/>
      <c r="AS237" t="s">
        <v>25</v>
      </c>
      <c r="AU237" t="s">
        <v>25</v>
      </c>
    </row>
    <row r="238" spans="7:47">
      <c r="G238" s="2" t="s">
        <v>6695</v>
      </c>
      <c r="H238" s="3">
        <v>1464826.6705450001</v>
      </c>
      <c r="M238" s="357" t="s">
        <v>5115</v>
      </c>
      <c r="N238" s="1">
        <v>18000000</v>
      </c>
      <c r="O238" s="370" t="s">
        <v>5434</v>
      </c>
      <c r="P238" s="370">
        <v>-568</v>
      </c>
      <c r="Q238" s="18">
        <v>2639.970566</v>
      </c>
      <c r="R238" s="18">
        <f t="shared" si="36"/>
        <v>-1499503.2814879999</v>
      </c>
      <c r="S238" s="395" t="s">
        <v>5445</v>
      </c>
      <c r="AJ238" s="11">
        <v>218</v>
      </c>
      <c r="AK238" s="3" t="s">
        <v>5384</v>
      </c>
      <c r="AL238" s="3">
        <v>-95599450</v>
      </c>
      <c r="AM238" s="11">
        <v>7</v>
      </c>
      <c r="AN238" s="20">
        <f t="shared" si="39"/>
        <v>603</v>
      </c>
      <c r="AO238" s="37">
        <f t="shared" si="40"/>
        <v>-57646468350</v>
      </c>
      <c r="AP238" s="20" t="s">
        <v>5397</v>
      </c>
      <c r="AT238" t="s">
        <v>25</v>
      </c>
    </row>
    <row r="239" spans="7:47">
      <c r="G239" s="2" t="s">
        <v>6698</v>
      </c>
      <c r="H239" s="3">
        <v>298481.41232</v>
      </c>
      <c r="M239" s="357" t="s">
        <v>5122</v>
      </c>
      <c r="N239" s="1">
        <v>20000000</v>
      </c>
      <c r="O239" s="370" t="s">
        <v>5434</v>
      </c>
      <c r="P239" s="370">
        <v>568</v>
      </c>
      <c r="Q239" s="18">
        <v>2639.970566</v>
      </c>
      <c r="R239" s="18">
        <f t="shared" si="36"/>
        <v>1499503.2814879999</v>
      </c>
      <c r="S239" s="395" t="s">
        <v>5445</v>
      </c>
      <c r="AA239" t="s">
        <v>25</v>
      </c>
      <c r="AJ239" s="11">
        <v>219</v>
      </c>
      <c r="AK239" s="3" t="s">
        <v>5405</v>
      </c>
      <c r="AL239" s="3">
        <v>200000</v>
      </c>
      <c r="AM239" s="11">
        <v>7</v>
      </c>
      <c r="AN239" s="20">
        <f t="shared" si="39"/>
        <v>596</v>
      </c>
      <c r="AO239" s="37">
        <f t="shared" si="40"/>
        <v>119200000</v>
      </c>
      <c r="AP239" s="20"/>
      <c r="AT239" t="s">
        <v>25</v>
      </c>
    </row>
    <row r="240" spans="7:47">
      <c r="G240" s="2" t="s">
        <v>6707</v>
      </c>
      <c r="H240" s="3">
        <v>787043.60540100001</v>
      </c>
      <c r="M240" s="357" t="s">
        <v>5196</v>
      </c>
      <c r="N240" s="1">
        <v>27694196</v>
      </c>
      <c r="O240" s="370" t="s">
        <v>5437</v>
      </c>
      <c r="P240" s="370">
        <v>4589</v>
      </c>
      <c r="Q240" s="18">
        <v>2639.970566</v>
      </c>
      <c r="R240" s="18">
        <f t="shared" si="36"/>
        <v>12114824.927374</v>
      </c>
      <c r="S240" s="395" t="s">
        <v>5446</v>
      </c>
      <c r="AJ240" s="11">
        <v>220</v>
      </c>
      <c r="AK240" s="3" t="s">
        <v>5408</v>
      </c>
      <c r="AL240" s="3">
        <v>150000</v>
      </c>
      <c r="AM240" s="11">
        <v>5</v>
      </c>
      <c r="AN240" s="20">
        <f t="shared" si="39"/>
        <v>589</v>
      </c>
      <c r="AO240" s="37">
        <f t="shared" si="40"/>
        <v>88350000</v>
      </c>
      <c r="AP240" s="20"/>
    </row>
    <row r="241" spans="7:48">
      <c r="G241" s="2" t="s">
        <v>6717</v>
      </c>
      <c r="H241" s="3">
        <v>679637.190848</v>
      </c>
      <c r="M241" s="357" t="s">
        <v>5197</v>
      </c>
      <c r="N241" s="1">
        <v>7211722</v>
      </c>
      <c r="O241" s="370" t="s">
        <v>5437</v>
      </c>
      <c r="P241" s="370">
        <v>41959</v>
      </c>
      <c r="Q241" s="18">
        <v>2639.970566</v>
      </c>
      <c r="R241" s="18">
        <f t="shared" ref="R241:R512" si="41">P241*Q241</f>
        <v>110770524.97879399</v>
      </c>
      <c r="S241" s="395" t="s">
        <v>4975</v>
      </c>
      <c r="AA241" t="s">
        <v>25</v>
      </c>
      <c r="AJ241" s="11">
        <v>221</v>
      </c>
      <c r="AK241" s="3" t="s">
        <v>5411</v>
      </c>
      <c r="AL241" s="3">
        <v>310000</v>
      </c>
      <c r="AM241" s="11">
        <v>31</v>
      </c>
      <c r="AN241" s="20">
        <f t="shared" si="39"/>
        <v>584</v>
      </c>
      <c r="AO241" s="37">
        <f t="shared" si="40"/>
        <v>181040000</v>
      </c>
      <c r="AP241" s="20"/>
      <c r="AT241" t="s">
        <v>25</v>
      </c>
    </row>
    <row r="242" spans="7:48">
      <c r="G242" s="2" t="s">
        <v>6720</v>
      </c>
      <c r="H242" s="3">
        <v>403055.30508300004</v>
      </c>
      <c r="M242" s="357" t="s">
        <v>5201</v>
      </c>
      <c r="N242" s="1">
        <v>8481864</v>
      </c>
      <c r="O242" s="370" t="s">
        <v>5448</v>
      </c>
      <c r="P242" s="370">
        <v>2486</v>
      </c>
      <c r="Q242" s="18">
        <v>2688.7156100000002</v>
      </c>
      <c r="R242" s="18">
        <f t="shared" si="41"/>
        <v>6684147.0064600008</v>
      </c>
      <c r="S242" s="395" t="s">
        <v>4975</v>
      </c>
      <c r="AJ242" s="11">
        <v>222</v>
      </c>
      <c r="AK242" s="3" t="s">
        <v>5434</v>
      </c>
      <c r="AL242" s="3">
        <v>4200000</v>
      </c>
      <c r="AM242" s="11">
        <v>53</v>
      </c>
      <c r="AN242" s="20">
        <f t="shared" si="39"/>
        <v>553</v>
      </c>
      <c r="AO242" s="37">
        <f t="shared" si="40"/>
        <v>2322600000</v>
      </c>
      <c r="AP242" s="20"/>
      <c r="AV242" t="s">
        <v>25</v>
      </c>
    </row>
    <row r="243" spans="7:48">
      <c r="G243" s="2" t="s">
        <v>6727</v>
      </c>
      <c r="H243" s="3">
        <v>477190.63777500001</v>
      </c>
      <c r="M243" s="357" t="s">
        <v>5205</v>
      </c>
      <c r="N243" s="1">
        <v>1558697</v>
      </c>
      <c r="O243" s="370" t="s">
        <v>5451</v>
      </c>
      <c r="P243" s="370">
        <v>652</v>
      </c>
      <c r="Q243" s="18">
        <v>2801.4344030000002</v>
      </c>
      <c r="R243" s="18">
        <f t="shared" si="41"/>
        <v>1826535.2307560001</v>
      </c>
      <c r="S243" s="395" t="s">
        <v>4975</v>
      </c>
      <c r="AC243" t="s">
        <v>25</v>
      </c>
      <c r="AJ243" s="11">
        <v>223</v>
      </c>
      <c r="AK243" s="3" t="s">
        <v>5484</v>
      </c>
      <c r="AL243" s="3">
        <v>260000000</v>
      </c>
      <c r="AM243" s="11">
        <v>22</v>
      </c>
      <c r="AN243" s="20">
        <f t="shared" si="39"/>
        <v>500</v>
      </c>
      <c r="AO243" s="37">
        <f t="shared" si="40"/>
        <v>130000000000</v>
      </c>
      <c r="AP243" s="20" t="s">
        <v>5485</v>
      </c>
    </row>
    <row r="244" spans="7:48">
      <c r="G244" s="2" t="s">
        <v>6729</v>
      </c>
      <c r="H244" s="3">
        <v>914936.54489999998</v>
      </c>
      <c r="M244" s="357" t="s">
        <v>5206</v>
      </c>
      <c r="N244" s="1">
        <v>9042009</v>
      </c>
      <c r="O244" s="189" t="s">
        <v>5451</v>
      </c>
      <c r="P244" s="189">
        <v>-536</v>
      </c>
      <c r="Q244" s="190">
        <v>2801.4344030000002</v>
      </c>
      <c r="R244" s="190">
        <f t="shared" si="41"/>
        <v>-1501568.8400080001</v>
      </c>
      <c r="S244" s="394" t="s">
        <v>5458</v>
      </c>
      <c r="AJ244" s="11">
        <v>224</v>
      </c>
      <c r="AK244" s="3" t="s">
        <v>5511</v>
      </c>
      <c r="AL244" s="3">
        <v>20000</v>
      </c>
      <c r="AM244" s="11">
        <v>7</v>
      </c>
      <c r="AN244" s="20">
        <f t="shared" si="39"/>
        <v>478</v>
      </c>
      <c r="AO244" s="37">
        <f t="shared" si="40"/>
        <v>9560000</v>
      </c>
      <c r="AP244" s="20"/>
      <c r="AR244" t="s">
        <v>25</v>
      </c>
    </row>
    <row r="245" spans="7:48">
      <c r="G245" s="2" t="s">
        <v>6730</v>
      </c>
      <c r="H245" s="3">
        <v>348393.04457099998</v>
      </c>
      <c r="M245" s="357" t="s">
        <v>5210</v>
      </c>
      <c r="N245" s="1">
        <v>94969</v>
      </c>
      <c r="O245" s="370" t="s">
        <v>5453</v>
      </c>
      <c r="P245" s="370">
        <v>1351</v>
      </c>
      <c r="Q245" s="18">
        <v>2647.94</v>
      </c>
      <c r="R245" s="18">
        <f t="shared" si="41"/>
        <v>3577366.94</v>
      </c>
      <c r="S245" s="395" t="s">
        <v>4975</v>
      </c>
      <c r="AJ245" s="11">
        <v>225</v>
      </c>
      <c r="AK245" s="3" t="s">
        <v>5518</v>
      </c>
      <c r="AL245" s="3">
        <v>70000</v>
      </c>
      <c r="AM245" s="11">
        <v>1</v>
      </c>
      <c r="AN245" s="20">
        <f t="shared" si="39"/>
        <v>471</v>
      </c>
      <c r="AO245" s="37">
        <f t="shared" si="40"/>
        <v>32970000</v>
      </c>
      <c r="AP245" s="20"/>
    </row>
    <row r="246" spans="7:48">
      <c r="G246" s="2" t="s">
        <v>6739</v>
      </c>
      <c r="H246" s="3">
        <v>720592.02784799994</v>
      </c>
      <c r="M246" s="357" t="s">
        <v>5210</v>
      </c>
      <c r="N246" s="1">
        <v>40000000</v>
      </c>
      <c r="O246" s="370" t="s">
        <v>5454</v>
      </c>
      <c r="P246" s="370">
        <v>8402</v>
      </c>
      <c r="Q246" s="18">
        <v>2527.8539839999999</v>
      </c>
      <c r="R246" s="18">
        <f t="shared" si="41"/>
        <v>21239029.173567999</v>
      </c>
      <c r="S246" s="395" t="s">
        <v>4975</v>
      </c>
      <c r="AJ246" s="11">
        <v>226</v>
      </c>
      <c r="AK246" s="3" t="s">
        <v>5524</v>
      </c>
      <c r="AL246" s="3">
        <v>330000</v>
      </c>
      <c r="AM246" s="11">
        <v>1</v>
      </c>
      <c r="AN246" s="20">
        <f t="shared" si="39"/>
        <v>470</v>
      </c>
      <c r="AO246" s="37">
        <f t="shared" si="40"/>
        <v>155100000</v>
      </c>
      <c r="AP246" s="20"/>
    </row>
    <row r="247" spans="7:48">
      <c r="G247" s="2" t="s">
        <v>6740</v>
      </c>
      <c r="H247" s="3">
        <v>870021.48342200008</v>
      </c>
      <c r="M247" s="357" t="s">
        <v>5211</v>
      </c>
      <c r="N247" s="1">
        <v>2806274</v>
      </c>
      <c r="O247" s="370" t="s">
        <v>5456</v>
      </c>
      <c r="P247" s="370">
        <v>98141</v>
      </c>
      <c r="Q247" s="18">
        <v>2475.593813</v>
      </c>
      <c r="R247" s="18">
        <f t="shared" si="41"/>
        <v>242957252.40163299</v>
      </c>
      <c r="S247" s="395" t="s">
        <v>4975</v>
      </c>
      <c r="AJ247" s="11">
        <v>227</v>
      </c>
      <c r="AK247" s="3" t="s">
        <v>5600</v>
      </c>
      <c r="AL247" s="3">
        <v>33833075</v>
      </c>
      <c r="AM247" s="11">
        <v>18</v>
      </c>
      <c r="AN247" s="20">
        <f t="shared" si="39"/>
        <v>469</v>
      </c>
      <c r="AO247" s="37">
        <f t="shared" si="40"/>
        <v>15867712175</v>
      </c>
      <c r="AP247" s="20" t="s">
        <v>5603</v>
      </c>
    </row>
    <row r="248" spans="7:48">
      <c r="G248" s="2" t="s">
        <v>6741</v>
      </c>
      <c r="H248" s="3">
        <v>379028.51315999997</v>
      </c>
      <c r="M248" s="357" t="s">
        <v>5219</v>
      </c>
      <c r="N248" s="1">
        <v>1331702</v>
      </c>
      <c r="O248" s="370" t="s">
        <v>5459</v>
      </c>
      <c r="P248" s="370">
        <v>2910</v>
      </c>
      <c r="Q248" s="18">
        <v>2528.240988</v>
      </c>
      <c r="R248" s="18">
        <f t="shared" si="41"/>
        <v>7357181.2750800001</v>
      </c>
      <c r="S248" s="395" t="s">
        <v>4975</v>
      </c>
      <c r="AJ248" s="11">
        <v>228</v>
      </c>
      <c r="AK248" s="3" t="s">
        <v>5610</v>
      </c>
      <c r="AL248" s="3">
        <v>150000</v>
      </c>
      <c r="AM248" s="11">
        <v>10</v>
      </c>
      <c r="AN248" s="20">
        <f t="shared" si="39"/>
        <v>451</v>
      </c>
      <c r="AO248" s="37">
        <f t="shared" si="40"/>
        <v>67650000</v>
      </c>
      <c r="AP248" s="20"/>
    </row>
    <row r="249" spans="7:48">
      <c r="G249" s="2" t="s">
        <v>6722</v>
      </c>
      <c r="H249" s="3">
        <v>727150.09922600002</v>
      </c>
      <c r="M249" s="357" t="s">
        <v>5251</v>
      </c>
      <c r="N249" s="1">
        <v>851238</v>
      </c>
      <c r="O249" s="370" t="s">
        <v>5461</v>
      </c>
      <c r="P249" s="370">
        <v>5652</v>
      </c>
      <c r="Q249" s="18">
        <v>2645.3312000000001</v>
      </c>
      <c r="R249" s="18">
        <f t="shared" si="41"/>
        <v>14951411.942400001</v>
      </c>
      <c r="S249" s="395" t="s">
        <v>4975</v>
      </c>
      <c r="AJ249" s="11">
        <v>229</v>
      </c>
      <c r="AK249" s="3" t="s">
        <v>5615</v>
      </c>
      <c r="AL249" s="3">
        <v>-341847876.93843603</v>
      </c>
      <c r="AM249" s="11">
        <v>1</v>
      </c>
      <c r="AN249" s="20">
        <f t="shared" si="39"/>
        <v>441</v>
      </c>
      <c r="AO249" s="37">
        <f t="shared" si="40"/>
        <v>-150754913729.85028</v>
      </c>
      <c r="AP249" s="20" t="s">
        <v>4615</v>
      </c>
      <c r="AR249" t="s">
        <v>25</v>
      </c>
    </row>
    <row r="250" spans="7:48" ht="20.25" customHeight="1">
      <c r="G250" s="2" t="s">
        <v>6785</v>
      </c>
      <c r="H250" s="3">
        <v>8677446.9972630013</v>
      </c>
      <c r="M250" s="357" t="s">
        <v>5292</v>
      </c>
      <c r="N250" s="1">
        <v>652592</v>
      </c>
      <c r="O250" s="370" t="s">
        <v>5463</v>
      </c>
      <c r="P250" s="370">
        <v>18764</v>
      </c>
      <c r="Q250" s="18">
        <v>2554.2639829999998</v>
      </c>
      <c r="R250" s="18">
        <f t="shared" si="41"/>
        <v>47928209.377011999</v>
      </c>
      <c r="S250" s="395" t="s">
        <v>4975</v>
      </c>
      <c r="AJ250" s="11">
        <v>230</v>
      </c>
      <c r="AK250" s="3" t="s">
        <v>5625</v>
      </c>
      <c r="AL250" s="3">
        <v>100000000</v>
      </c>
      <c r="AM250" s="11">
        <v>0</v>
      </c>
      <c r="AN250" s="20">
        <f t="shared" si="39"/>
        <v>440</v>
      </c>
      <c r="AO250" s="37">
        <f t="shared" si="40"/>
        <v>44000000000</v>
      </c>
      <c r="AP250" s="20" t="s">
        <v>5626</v>
      </c>
    </row>
    <row r="251" spans="7:48" ht="30">
      <c r="G251" s="2" t="s">
        <v>6787</v>
      </c>
      <c r="H251" s="3">
        <v>3889315.7145719999</v>
      </c>
      <c r="M251" s="357" t="s">
        <v>5293</v>
      </c>
      <c r="N251" s="1">
        <v>554139</v>
      </c>
      <c r="O251" s="370" t="s">
        <v>5464</v>
      </c>
      <c r="P251" s="370">
        <v>930</v>
      </c>
      <c r="Q251" s="18">
        <v>2453.3287089999999</v>
      </c>
      <c r="R251" s="18">
        <f t="shared" si="41"/>
        <v>2281595.69937</v>
      </c>
      <c r="S251" s="395" t="s">
        <v>4975</v>
      </c>
      <c r="AJ251" s="11">
        <v>231</v>
      </c>
      <c r="AK251" s="3" t="s">
        <v>5625</v>
      </c>
      <c r="AL251" s="3">
        <v>-100000000</v>
      </c>
      <c r="AM251" s="11">
        <v>1</v>
      </c>
      <c r="AN251" s="20">
        <f t="shared" si="39"/>
        <v>440</v>
      </c>
      <c r="AO251" s="37">
        <f t="shared" si="40"/>
        <v>-44000000000</v>
      </c>
      <c r="AP251" s="188" t="s">
        <v>5627</v>
      </c>
    </row>
    <row r="252" spans="7:48">
      <c r="G252" s="2" t="s">
        <v>6800</v>
      </c>
      <c r="H252" s="3">
        <v>6760129.9060710007</v>
      </c>
      <c r="M252" s="357" t="s">
        <v>5294</v>
      </c>
      <c r="N252" s="1">
        <v>70373089</v>
      </c>
      <c r="O252" s="370" t="s">
        <v>5465</v>
      </c>
      <c r="P252" s="370">
        <v>1167</v>
      </c>
      <c r="Q252" s="18">
        <v>2540.6307069999998</v>
      </c>
      <c r="R252" s="18">
        <f t="shared" si="41"/>
        <v>2964916.035069</v>
      </c>
      <c r="S252" s="395" t="s">
        <v>4975</v>
      </c>
      <c r="AJ252" s="11">
        <v>232</v>
      </c>
      <c r="AK252" s="3" t="s">
        <v>5628</v>
      </c>
      <c r="AL252" s="3">
        <v>90000000</v>
      </c>
      <c r="AM252" s="11">
        <v>0</v>
      </c>
      <c r="AN252" s="20">
        <f t="shared" si="39"/>
        <v>439</v>
      </c>
      <c r="AO252" s="37">
        <f t="shared" si="40"/>
        <v>39510000000</v>
      </c>
      <c r="AP252" s="20"/>
    </row>
    <row r="253" spans="7:48" ht="30">
      <c r="G253" s="2" t="s">
        <v>6802</v>
      </c>
      <c r="H253" s="3">
        <v>9916796.5079399999</v>
      </c>
      <c r="M253" s="357" t="s">
        <v>5295</v>
      </c>
      <c r="N253" s="1">
        <v>1219655</v>
      </c>
      <c r="O253" s="370" t="s">
        <v>5466</v>
      </c>
      <c r="P253" s="370">
        <v>2538</v>
      </c>
      <c r="Q253" s="18">
        <v>2545.5277489999999</v>
      </c>
      <c r="R253" s="18">
        <f t="shared" si="41"/>
        <v>6460549.4269619994</v>
      </c>
      <c r="S253" s="395" t="s">
        <v>4975</v>
      </c>
      <c r="AJ253" s="11">
        <v>233</v>
      </c>
      <c r="AK253" s="3" t="s">
        <v>5628</v>
      </c>
      <c r="AL253" s="3">
        <v>-90000000</v>
      </c>
      <c r="AM253" s="11">
        <v>1</v>
      </c>
      <c r="AN253" s="20">
        <f t="shared" si="39"/>
        <v>439</v>
      </c>
      <c r="AO253" s="37">
        <f t="shared" si="40"/>
        <v>-39510000000</v>
      </c>
      <c r="AP253" s="188" t="s">
        <v>5629</v>
      </c>
      <c r="AS253" t="s">
        <v>25</v>
      </c>
      <c r="AU253" t="s">
        <v>25</v>
      </c>
    </row>
    <row r="254" spans="7:48">
      <c r="G254" s="2" t="s">
        <v>6804</v>
      </c>
      <c r="H254" s="3">
        <v>968734.90064999997</v>
      </c>
      <c r="M254" s="357" t="s">
        <v>5296</v>
      </c>
      <c r="N254" s="1">
        <v>15350146</v>
      </c>
      <c r="O254" s="370" t="s">
        <v>5467</v>
      </c>
      <c r="P254" s="370">
        <v>2106</v>
      </c>
      <c r="Q254" s="18">
        <v>2474.9857059999999</v>
      </c>
      <c r="R254" s="18">
        <f t="shared" si="41"/>
        <v>5212319.8968359996</v>
      </c>
      <c r="S254" s="395" t="s">
        <v>4975</v>
      </c>
      <c r="AJ254" s="11">
        <v>234</v>
      </c>
      <c r="AK254" s="3" t="s">
        <v>5630</v>
      </c>
      <c r="AL254" s="3">
        <v>30000000</v>
      </c>
      <c r="AM254" s="11">
        <v>0</v>
      </c>
      <c r="AN254" s="20">
        <f t="shared" si="39"/>
        <v>438</v>
      </c>
      <c r="AO254" s="37">
        <f t="shared" si="40"/>
        <v>13140000000</v>
      </c>
      <c r="AP254" s="188"/>
    </row>
    <row r="255" spans="7:48" ht="30">
      <c r="G255" s="2" t="s">
        <v>6806</v>
      </c>
      <c r="H255" s="3">
        <v>761939.35763300001</v>
      </c>
      <c r="M255" s="357" t="s">
        <v>5300</v>
      </c>
      <c r="N255" s="1">
        <v>121018</v>
      </c>
      <c r="O255" s="370" t="s">
        <v>5469</v>
      </c>
      <c r="P255" s="370">
        <v>1801</v>
      </c>
      <c r="Q255" s="18">
        <v>2512.2134809999998</v>
      </c>
      <c r="R255" s="18">
        <f t="shared" si="41"/>
        <v>4524496.4792809999</v>
      </c>
      <c r="S255" s="395" t="s">
        <v>4975</v>
      </c>
      <c r="AJ255" s="11">
        <v>235</v>
      </c>
      <c r="AK255" s="3" t="s">
        <v>5630</v>
      </c>
      <c r="AL255" s="3">
        <v>-30000000</v>
      </c>
      <c r="AM255" s="11">
        <v>3</v>
      </c>
      <c r="AN255" s="20">
        <f t="shared" si="39"/>
        <v>438</v>
      </c>
      <c r="AO255" s="37">
        <f t="shared" si="40"/>
        <v>-13140000000</v>
      </c>
      <c r="AP255" s="188" t="s">
        <v>5631</v>
      </c>
    </row>
    <row r="256" spans="7:48">
      <c r="G256" s="2" t="s">
        <v>6807</v>
      </c>
      <c r="H256" s="3">
        <v>3631828.8870270001</v>
      </c>
      <c r="M256" s="357" t="s">
        <v>5305</v>
      </c>
      <c r="N256" s="1">
        <v>1024993</v>
      </c>
      <c r="O256" s="370" t="s">
        <v>5470</v>
      </c>
      <c r="P256" s="370">
        <v>9184</v>
      </c>
      <c r="Q256" s="18">
        <v>2489.76919</v>
      </c>
      <c r="R256" s="18">
        <f t="shared" si="41"/>
        <v>22866040.240959998</v>
      </c>
      <c r="S256" s="395" t="s">
        <v>4975</v>
      </c>
      <c r="AJ256" s="11">
        <v>236</v>
      </c>
      <c r="AK256" s="3" t="s">
        <v>5637</v>
      </c>
      <c r="AL256" s="3">
        <v>50000000</v>
      </c>
      <c r="AM256" s="11">
        <v>1</v>
      </c>
      <c r="AN256" s="20">
        <f t="shared" si="39"/>
        <v>435</v>
      </c>
      <c r="AO256" s="37">
        <f t="shared" si="40"/>
        <v>21750000000</v>
      </c>
      <c r="AP256" s="188"/>
    </row>
    <row r="257" spans="7:47" ht="30">
      <c r="G257" s="2" t="s">
        <v>6812</v>
      </c>
      <c r="H257" s="3">
        <v>1797773.921844</v>
      </c>
      <c r="M257" s="357" t="s">
        <v>5306</v>
      </c>
      <c r="N257" s="1">
        <v>1948077</v>
      </c>
      <c r="O257" s="370" t="s">
        <v>5471</v>
      </c>
      <c r="P257" s="370">
        <v>6259</v>
      </c>
      <c r="Q257" s="18">
        <v>2453.954988</v>
      </c>
      <c r="R257" s="18">
        <f t="shared" si="41"/>
        <v>15359304.269892</v>
      </c>
      <c r="S257" s="395" t="s">
        <v>4975</v>
      </c>
      <c r="AJ257" s="11">
        <v>237</v>
      </c>
      <c r="AK257" s="3" t="s">
        <v>5638</v>
      </c>
      <c r="AL257" s="3">
        <v>-50000000</v>
      </c>
      <c r="AM257" s="11">
        <v>5</v>
      </c>
      <c r="AN257" s="20">
        <f t="shared" si="39"/>
        <v>434</v>
      </c>
      <c r="AO257" s="37">
        <f t="shared" si="40"/>
        <v>-21700000000</v>
      </c>
      <c r="AP257" s="188" t="s">
        <v>5639</v>
      </c>
      <c r="AR257" t="s">
        <v>25</v>
      </c>
    </row>
    <row r="258" spans="7:47">
      <c r="G258" s="2" t="s">
        <v>6815</v>
      </c>
      <c r="H258" s="3">
        <v>4297159.3427689997</v>
      </c>
      <c r="M258" s="357" t="s">
        <v>5307</v>
      </c>
      <c r="N258" s="1">
        <v>50000120</v>
      </c>
      <c r="O258" s="370" t="s">
        <v>5473</v>
      </c>
      <c r="P258" s="370">
        <v>1223</v>
      </c>
      <c r="Q258" s="18">
        <v>2345.4686710000001</v>
      </c>
      <c r="R258" s="18">
        <f t="shared" si="41"/>
        <v>2868508.1846330003</v>
      </c>
      <c r="S258" s="395" t="s">
        <v>4975</v>
      </c>
      <c r="AA258" t="s">
        <v>25</v>
      </c>
      <c r="AJ258" s="11">
        <v>238</v>
      </c>
      <c r="AK258" s="3" t="s">
        <v>5984</v>
      </c>
      <c r="AL258" s="3">
        <v>10000</v>
      </c>
      <c r="AM258" s="11">
        <v>1</v>
      </c>
      <c r="AN258" s="20">
        <f t="shared" si="39"/>
        <v>429</v>
      </c>
      <c r="AO258" s="37">
        <f t="shared" si="40"/>
        <v>4290000</v>
      </c>
      <c r="AP258" s="188"/>
    </row>
    <row r="259" spans="7:47" ht="15" customHeight="1">
      <c r="G259" s="2" t="s">
        <v>6817</v>
      </c>
      <c r="H259" s="3">
        <v>4765717.1413799999</v>
      </c>
      <c r="M259" s="357" t="s">
        <v>5321</v>
      </c>
      <c r="N259" s="1">
        <v>20000055</v>
      </c>
      <c r="O259" s="370" t="s">
        <v>5474</v>
      </c>
      <c r="P259" s="370">
        <v>7804</v>
      </c>
      <c r="Q259" s="18">
        <v>2236.0831640000001</v>
      </c>
      <c r="R259" s="18">
        <f t="shared" si="41"/>
        <v>17450393.011856001</v>
      </c>
      <c r="S259" s="395" t="s">
        <v>4975</v>
      </c>
      <c r="AJ259" s="11">
        <v>239</v>
      </c>
      <c r="AK259" s="3" t="s">
        <v>5985</v>
      </c>
      <c r="AL259" s="3">
        <v>50000000</v>
      </c>
      <c r="AM259" s="11">
        <v>43</v>
      </c>
      <c r="AN259" s="20">
        <f t="shared" si="39"/>
        <v>428</v>
      </c>
      <c r="AO259" s="37">
        <f t="shared" si="40"/>
        <v>21400000000</v>
      </c>
      <c r="AP259" s="188" t="s">
        <v>5213</v>
      </c>
    </row>
    <row r="260" spans="7:47">
      <c r="G260" s="2" t="s">
        <v>6821</v>
      </c>
      <c r="H260" s="3">
        <v>3715272.2289780001</v>
      </c>
      <c r="M260" s="357" t="s">
        <v>5322</v>
      </c>
      <c r="N260" s="1">
        <v>5745697</v>
      </c>
      <c r="O260" s="370" t="s">
        <v>5475</v>
      </c>
      <c r="P260" s="370">
        <v>14589</v>
      </c>
      <c r="Q260" s="18">
        <v>2151.5486500000002</v>
      </c>
      <c r="R260" s="18">
        <f t="shared" si="41"/>
        <v>31388943.254850004</v>
      </c>
      <c r="S260" s="395" t="s">
        <v>4975</v>
      </c>
      <c r="AJ260" s="11">
        <v>240</v>
      </c>
      <c r="AK260" s="3" t="s">
        <v>6028</v>
      </c>
      <c r="AL260" s="3">
        <v>50000000</v>
      </c>
      <c r="AM260" s="11">
        <v>10</v>
      </c>
      <c r="AN260" s="20">
        <f t="shared" si="39"/>
        <v>385</v>
      </c>
      <c r="AO260" s="37">
        <f t="shared" si="40"/>
        <v>19250000000</v>
      </c>
      <c r="AP260" s="188" t="s">
        <v>6029</v>
      </c>
    </row>
    <row r="261" spans="7:47">
      <c r="G261" s="2" t="s">
        <v>6822</v>
      </c>
      <c r="H261" s="3">
        <v>8572204.2709120009</v>
      </c>
      <c r="M261" s="357" t="s">
        <v>5323</v>
      </c>
      <c r="N261" s="1">
        <v>908158</v>
      </c>
      <c r="O261" s="370" t="s">
        <v>5476</v>
      </c>
      <c r="P261" s="370">
        <v>14741</v>
      </c>
      <c r="Q261" s="18">
        <v>2097.0148140000001</v>
      </c>
      <c r="R261" s="18">
        <f t="shared" si="41"/>
        <v>30912095.373174001</v>
      </c>
      <c r="S261" s="395" t="s">
        <v>4975</v>
      </c>
      <c r="AJ261" s="11">
        <v>241</v>
      </c>
      <c r="AK261" s="3" t="s">
        <v>6030</v>
      </c>
      <c r="AL261" s="3">
        <v>8200000</v>
      </c>
      <c r="AM261" s="11">
        <v>29</v>
      </c>
      <c r="AN261" s="20">
        <f t="shared" si="39"/>
        <v>375</v>
      </c>
      <c r="AO261" s="37">
        <f t="shared" si="40"/>
        <v>3075000000</v>
      </c>
      <c r="AP261" s="188" t="s">
        <v>6029</v>
      </c>
      <c r="AT261" t="s">
        <v>25</v>
      </c>
      <c r="AU261" t="s">
        <v>25</v>
      </c>
    </row>
    <row r="262" spans="7:47">
      <c r="G262" s="2" t="s">
        <v>6823</v>
      </c>
      <c r="H262" s="3">
        <v>5003571.3628719999</v>
      </c>
      <c r="M262" s="357" t="s">
        <v>5324</v>
      </c>
      <c r="N262" s="1">
        <v>12642697</v>
      </c>
      <c r="O262" s="370" t="s">
        <v>5478</v>
      </c>
      <c r="P262" s="370">
        <v>10237</v>
      </c>
      <c r="Q262" s="18">
        <v>1914.9092619999999</v>
      </c>
      <c r="R262" s="18">
        <f t="shared" si="41"/>
        <v>19602926.115093999</v>
      </c>
      <c r="S262" s="395" t="s">
        <v>4975</v>
      </c>
      <c r="AA262" t="s">
        <v>25</v>
      </c>
      <c r="AJ262" s="11">
        <v>242</v>
      </c>
      <c r="AK262" s="3" t="s">
        <v>6057</v>
      </c>
      <c r="AL262" s="3">
        <v>-180000000</v>
      </c>
      <c r="AM262" s="11">
        <v>16</v>
      </c>
      <c r="AN262" s="20">
        <f t="shared" si="39"/>
        <v>346</v>
      </c>
      <c r="AO262" s="37">
        <f t="shared" si="40"/>
        <v>-62280000000</v>
      </c>
      <c r="AP262" s="188" t="s">
        <v>6059</v>
      </c>
    </row>
    <row r="263" spans="7:47" ht="17.25" customHeight="1">
      <c r="G263" s="2" t="s">
        <v>6827</v>
      </c>
      <c r="H263" s="3">
        <v>4813787.1121500004</v>
      </c>
      <c r="M263" s="357" t="s">
        <v>5325</v>
      </c>
      <c r="N263" s="1">
        <v>12297317.81435</v>
      </c>
      <c r="O263" s="370" t="s">
        <v>5479</v>
      </c>
      <c r="P263" s="370">
        <v>19211</v>
      </c>
      <c r="Q263" s="18">
        <v>1793.6906100000001</v>
      </c>
      <c r="R263" s="18">
        <f t="shared" si="41"/>
        <v>34458590.308710001</v>
      </c>
      <c r="S263" s="395" t="s">
        <v>4975</v>
      </c>
      <c r="AJ263" s="11">
        <v>243</v>
      </c>
      <c r="AK263" s="3" t="s">
        <v>6156</v>
      </c>
      <c r="AL263" s="3">
        <v>60000000</v>
      </c>
      <c r="AM263" s="11">
        <v>6</v>
      </c>
      <c r="AN263" s="20">
        <f t="shared" si="39"/>
        <v>330</v>
      </c>
      <c r="AO263" s="37">
        <f t="shared" si="40"/>
        <v>19800000000</v>
      </c>
      <c r="AP263" s="188" t="s">
        <v>6157</v>
      </c>
      <c r="AU263" t="s">
        <v>25</v>
      </c>
    </row>
    <row r="264" spans="7:47">
      <c r="G264" s="2" t="s">
        <v>6827</v>
      </c>
      <c r="H264" s="3">
        <v>44213627.939580001</v>
      </c>
      <c r="M264" s="357" t="s">
        <v>5326</v>
      </c>
      <c r="N264" s="1">
        <v>8959643.8508579992</v>
      </c>
      <c r="O264" s="370" t="s">
        <v>5480</v>
      </c>
      <c r="P264" s="370">
        <v>11599</v>
      </c>
      <c r="Q264" s="18">
        <v>1870.667144</v>
      </c>
      <c r="R264" s="18">
        <f t="shared" si="41"/>
        <v>21697868.203256</v>
      </c>
      <c r="S264" s="395" t="s">
        <v>4975</v>
      </c>
      <c r="AJ264" s="11">
        <v>244</v>
      </c>
      <c r="AK264" s="3" t="s">
        <v>6164</v>
      </c>
      <c r="AL264" s="3">
        <v>5000</v>
      </c>
      <c r="AM264" s="11">
        <v>8</v>
      </c>
      <c r="AN264" s="20">
        <f t="shared" si="39"/>
        <v>324</v>
      </c>
      <c r="AO264" s="37">
        <f t="shared" si="40"/>
        <v>1620000</v>
      </c>
      <c r="AP264" s="188" t="s">
        <v>6029</v>
      </c>
    </row>
    <row r="265" spans="7:47">
      <c r="G265" s="2" t="s">
        <v>6829</v>
      </c>
      <c r="H265" s="3">
        <v>6396520.1381280003</v>
      </c>
      <c r="M265" s="357" t="s">
        <v>5341</v>
      </c>
      <c r="N265" s="1">
        <v>15154095.839328</v>
      </c>
      <c r="O265" s="370" t="s">
        <v>5481</v>
      </c>
      <c r="P265" s="370">
        <v>14098</v>
      </c>
      <c r="Q265" s="18">
        <v>1797.423695</v>
      </c>
      <c r="R265" s="18">
        <f t="shared" si="41"/>
        <v>25340079.252110001</v>
      </c>
      <c r="S265" s="395" t="s">
        <v>4975</v>
      </c>
      <c r="AA265" t="s">
        <v>25</v>
      </c>
      <c r="AJ265" s="11">
        <v>245</v>
      </c>
      <c r="AK265" s="3" t="s">
        <v>6165</v>
      </c>
      <c r="AL265" s="3">
        <v>102750000</v>
      </c>
      <c r="AM265" s="11">
        <v>5</v>
      </c>
      <c r="AN265" s="20">
        <f t="shared" si="39"/>
        <v>316</v>
      </c>
      <c r="AO265" s="37">
        <f t="shared" si="40"/>
        <v>32469000000</v>
      </c>
      <c r="AP265" s="188"/>
    </row>
    <row r="266" spans="7:47" ht="30">
      <c r="G266" s="2" t="s">
        <v>6831</v>
      </c>
      <c r="H266" s="3">
        <v>10752710.353308</v>
      </c>
      <c r="M266" s="357" t="s">
        <v>5342</v>
      </c>
      <c r="N266" s="1">
        <v>50725508.571864001</v>
      </c>
      <c r="O266" s="370" t="s">
        <v>5482</v>
      </c>
      <c r="P266" s="370">
        <v>8497</v>
      </c>
      <c r="Q266" s="18">
        <v>1739.5531579999999</v>
      </c>
      <c r="R266" s="18">
        <f t="shared" si="41"/>
        <v>14780983.183526</v>
      </c>
      <c r="S266" s="395" t="s">
        <v>4975</v>
      </c>
      <c r="AJ266" s="11">
        <v>246</v>
      </c>
      <c r="AK266" s="3" t="s">
        <v>6170</v>
      </c>
      <c r="AL266" s="3">
        <v>-60000000</v>
      </c>
      <c r="AM266" s="11">
        <v>42</v>
      </c>
      <c r="AN266" s="20">
        <f t="shared" si="39"/>
        <v>311</v>
      </c>
      <c r="AO266" s="37">
        <f t="shared" si="40"/>
        <v>-18660000000</v>
      </c>
      <c r="AP266" s="188" t="s">
        <v>6174</v>
      </c>
    </row>
    <row r="267" spans="7:47" ht="20.25" customHeight="1">
      <c r="G267" s="2" t="s">
        <v>6835</v>
      </c>
      <c r="H267" s="3">
        <v>25378123.030598</v>
      </c>
      <c r="M267" s="357" t="s">
        <v>5349</v>
      </c>
      <c r="N267" s="1">
        <v>2281961.458596</v>
      </c>
      <c r="O267" s="207" t="s">
        <v>5484</v>
      </c>
      <c r="P267" s="207">
        <v>163820</v>
      </c>
      <c r="Q267" s="276">
        <v>1588.685326</v>
      </c>
      <c r="R267" s="276">
        <f t="shared" si="41"/>
        <v>260258430.10532001</v>
      </c>
      <c r="S267" s="397" t="s">
        <v>5486</v>
      </c>
      <c r="AJ267" s="11">
        <v>247</v>
      </c>
      <c r="AK267" s="3" t="s">
        <v>6471</v>
      </c>
      <c r="AL267" s="3">
        <v>50000</v>
      </c>
      <c r="AM267" s="11">
        <v>59</v>
      </c>
      <c r="AN267" s="20">
        <f t="shared" si="39"/>
        <v>269</v>
      </c>
      <c r="AO267" s="37">
        <f t="shared" si="40"/>
        <v>13450000</v>
      </c>
      <c r="AP267" s="188" t="s">
        <v>6029</v>
      </c>
      <c r="AU267" t="s">
        <v>25</v>
      </c>
    </row>
    <row r="268" spans="7:47">
      <c r="G268" s="2" t="s">
        <v>6820</v>
      </c>
      <c r="H268" s="3">
        <v>4844410.7196660005</v>
      </c>
      <c r="M268" s="357" t="s">
        <v>5350</v>
      </c>
      <c r="N268" s="1">
        <v>10998285</v>
      </c>
      <c r="O268" s="370" t="s">
        <v>5484</v>
      </c>
      <c r="P268" s="370">
        <v>11207</v>
      </c>
      <c r="Q268" s="18">
        <v>1588.685326</v>
      </c>
      <c r="R268" s="18">
        <f t="shared" si="41"/>
        <v>17804396.448481999</v>
      </c>
      <c r="S268" s="395" t="s">
        <v>4975</v>
      </c>
      <c r="AJ268" s="11">
        <v>248</v>
      </c>
      <c r="AK268" s="3" t="s">
        <v>6585</v>
      </c>
      <c r="AL268" s="3">
        <v>300000</v>
      </c>
      <c r="AM268" s="11">
        <v>55</v>
      </c>
      <c r="AN268" s="20">
        <f t="shared" si="39"/>
        <v>210</v>
      </c>
      <c r="AO268" s="37">
        <f t="shared" si="40"/>
        <v>63000000</v>
      </c>
      <c r="AP268" s="188"/>
    </row>
    <row r="269" spans="7:47" ht="21.75" customHeight="1">
      <c r="G269" s="2" t="s">
        <v>6842</v>
      </c>
      <c r="H269" s="3">
        <v>4641284</v>
      </c>
      <c r="M269" s="357" t="s">
        <v>5352</v>
      </c>
      <c r="N269" s="1">
        <v>983018.96187300002</v>
      </c>
      <c r="O269" s="370" t="s">
        <v>5487</v>
      </c>
      <c r="P269" s="370">
        <v>7198</v>
      </c>
      <c r="Q269" s="18">
        <v>1602.9918909999999</v>
      </c>
      <c r="R269" s="18">
        <f t="shared" si="41"/>
        <v>11538335.631417999</v>
      </c>
      <c r="S269" s="395" t="s">
        <v>4975</v>
      </c>
      <c r="AA269" t="s">
        <v>25</v>
      </c>
      <c r="AJ269" s="11">
        <v>249</v>
      </c>
      <c r="AK269" s="3" t="s">
        <v>6609</v>
      </c>
      <c r="AL269" s="3">
        <v>200000000</v>
      </c>
      <c r="AM269" s="11">
        <v>7</v>
      </c>
      <c r="AN269" s="20">
        <f t="shared" si="39"/>
        <v>155</v>
      </c>
      <c r="AO269" s="37">
        <f t="shared" si="40"/>
        <v>31000000000</v>
      </c>
      <c r="AP269" s="188" t="s">
        <v>6610</v>
      </c>
    </row>
    <row r="270" spans="7:47">
      <c r="G270" s="2" t="s">
        <v>6844</v>
      </c>
      <c r="H270" s="3">
        <v>2066743.6704459998</v>
      </c>
      <c r="M270" s="357" t="s">
        <v>5355</v>
      </c>
      <c r="N270" s="1">
        <v>17049271.032000002</v>
      </c>
      <c r="O270" s="370" t="s">
        <v>5488</v>
      </c>
      <c r="P270" s="370">
        <v>7804</v>
      </c>
      <c r="Q270" s="18">
        <v>1592.7111440000001</v>
      </c>
      <c r="R270" s="18">
        <f t="shared" si="41"/>
        <v>12429517.767776001</v>
      </c>
      <c r="S270" s="395" t="s">
        <v>4975</v>
      </c>
      <c r="AA270" t="s">
        <v>25</v>
      </c>
      <c r="AJ270" s="11">
        <v>250</v>
      </c>
      <c r="AK270" s="3" t="s">
        <v>6613</v>
      </c>
      <c r="AL270" s="3">
        <v>50000</v>
      </c>
      <c r="AM270" s="11">
        <v>83</v>
      </c>
      <c r="AN270" s="20">
        <f t="shared" si="39"/>
        <v>148</v>
      </c>
      <c r="AO270" s="37">
        <f t="shared" si="40"/>
        <v>7400000</v>
      </c>
      <c r="AP270" s="20" t="s">
        <v>6029</v>
      </c>
    </row>
    <row r="271" spans="7:47">
      <c r="G271" s="2" t="s">
        <v>6847</v>
      </c>
      <c r="H271" s="3">
        <v>1783900.3856240001</v>
      </c>
      <c r="M271" s="357" t="s">
        <v>4127</v>
      </c>
      <c r="N271" s="1">
        <v>6829998</v>
      </c>
      <c r="O271" s="370" t="s">
        <v>5496</v>
      </c>
      <c r="P271" s="370">
        <v>2827</v>
      </c>
      <c r="Q271" s="18">
        <v>1779.6874809999999</v>
      </c>
      <c r="R271" s="18">
        <f t="shared" si="41"/>
        <v>5031176.5087869996</v>
      </c>
      <c r="S271" s="395" t="s">
        <v>4975</v>
      </c>
      <c r="AE271" t="s">
        <v>25</v>
      </c>
      <c r="AJ271" s="11">
        <v>251</v>
      </c>
      <c r="AK271" s="3" t="s">
        <v>6653</v>
      </c>
      <c r="AL271" s="3">
        <v>20000000</v>
      </c>
      <c r="AM271" s="11">
        <v>0</v>
      </c>
      <c r="AN271" s="20">
        <f t="shared" si="39"/>
        <v>65</v>
      </c>
      <c r="AO271" s="37">
        <f t="shared" si="40"/>
        <v>1300000000</v>
      </c>
      <c r="AP271" s="20" t="s">
        <v>6659</v>
      </c>
      <c r="AT271" t="s">
        <v>25</v>
      </c>
    </row>
    <row r="272" spans="7:47">
      <c r="G272" s="2" t="s">
        <v>6848</v>
      </c>
      <c r="H272" s="3">
        <v>2444730.4589760001</v>
      </c>
      <c r="M272" s="357" t="s">
        <v>5372</v>
      </c>
      <c r="N272" s="1">
        <v>6982608.8207999999</v>
      </c>
      <c r="O272" s="370" t="s">
        <v>5498</v>
      </c>
      <c r="P272" s="370">
        <v>3385</v>
      </c>
      <c r="Q272" s="18">
        <v>2015.5993820000001</v>
      </c>
      <c r="R272" s="18">
        <f t="shared" si="41"/>
        <v>6822803.9080700008</v>
      </c>
      <c r="S272" s="395" t="s">
        <v>4975</v>
      </c>
      <c r="AA272" t="s">
        <v>25</v>
      </c>
      <c r="AJ272" s="11">
        <v>252</v>
      </c>
      <c r="AK272" s="3" t="s">
        <v>6658</v>
      </c>
      <c r="AL272" s="3">
        <v>-562402000</v>
      </c>
      <c r="AM272" s="11">
        <v>1</v>
      </c>
      <c r="AN272" s="20">
        <f t="shared" si="39"/>
        <v>65</v>
      </c>
      <c r="AO272" s="37">
        <f t="shared" si="40"/>
        <v>-36556130000</v>
      </c>
      <c r="AP272" s="20" t="s">
        <v>6660</v>
      </c>
    </row>
    <row r="273" spans="7:48">
      <c r="G273" s="2" t="s">
        <v>6849</v>
      </c>
      <c r="H273" s="3">
        <v>11150477.068770001</v>
      </c>
      <c r="M273" s="357" t="s">
        <v>5377</v>
      </c>
      <c r="N273" s="1">
        <v>7510131.0216000006</v>
      </c>
      <c r="O273" s="370" t="s">
        <v>5502</v>
      </c>
      <c r="P273" s="370">
        <v>158</v>
      </c>
      <c r="Q273" s="18">
        <v>2094.2388179999998</v>
      </c>
      <c r="R273" s="18">
        <f t="shared" si="41"/>
        <v>330889.73324399994</v>
      </c>
      <c r="S273" s="395" t="s">
        <v>4975</v>
      </c>
      <c r="AA273" t="s">
        <v>25</v>
      </c>
      <c r="AJ273" s="11">
        <v>253</v>
      </c>
      <c r="AK273" s="3" t="s">
        <v>6661</v>
      </c>
      <c r="AL273" s="3">
        <v>30000000</v>
      </c>
      <c r="AM273" s="11">
        <v>1</v>
      </c>
      <c r="AN273" s="20">
        <f t="shared" si="39"/>
        <v>64</v>
      </c>
      <c r="AO273" s="37">
        <f t="shared" si="40"/>
        <v>1920000000</v>
      </c>
      <c r="AP273" s="20" t="s">
        <v>6666</v>
      </c>
    </row>
    <row r="274" spans="7:48">
      <c r="G274" s="2" t="s">
        <v>6850</v>
      </c>
      <c r="H274" s="3">
        <v>2431394.0135999997</v>
      </c>
      <c r="M274" s="357" t="s">
        <v>5385</v>
      </c>
      <c r="N274" s="1">
        <v>7278025.5327000003</v>
      </c>
      <c r="O274" s="370" t="s">
        <v>900</v>
      </c>
      <c r="P274" s="370">
        <v>5033</v>
      </c>
      <c r="Q274" s="18">
        <v>2229.4976999999999</v>
      </c>
      <c r="R274" s="18">
        <f t="shared" si="41"/>
        <v>11221061.924099999</v>
      </c>
      <c r="S274" s="395" t="s">
        <v>5506</v>
      </c>
      <c r="AA274" t="s">
        <v>25</v>
      </c>
      <c r="AJ274" s="11">
        <v>254</v>
      </c>
      <c r="AK274" s="3" t="s">
        <v>6668</v>
      </c>
      <c r="AL274" s="3">
        <v>50000000</v>
      </c>
      <c r="AM274" s="11">
        <v>59</v>
      </c>
      <c r="AN274" s="20">
        <f t="shared" si="39"/>
        <v>63</v>
      </c>
      <c r="AO274" s="37">
        <f t="shared" si="40"/>
        <v>3150000000</v>
      </c>
      <c r="AP274" s="20" t="s">
        <v>6666</v>
      </c>
      <c r="AR274" t="s">
        <v>25</v>
      </c>
    </row>
    <row r="275" spans="7:48" ht="23.25" customHeight="1">
      <c r="G275" s="2" t="s">
        <v>6851</v>
      </c>
      <c r="H275" s="3">
        <v>8445499.6301039997</v>
      </c>
      <c r="M275" s="357" t="s">
        <v>5389</v>
      </c>
      <c r="N275" s="1">
        <v>195059.35799999998</v>
      </c>
      <c r="O275" s="370" t="s">
        <v>5510</v>
      </c>
      <c r="P275" s="370">
        <v>2870</v>
      </c>
      <c r="Q275" s="18">
        <v>2303.2467459999998</v>
      </c>
      <c r="R275" s="18">
        <f t="shared" si="41"/>
        <v>6610318.1610199995</v>
      </c>
      <c r="S275" s="395" t="s">
        <v>4975</v>
      </c>
      <c r="AJ275" s="11">
        <v>255</v>
      </c>
      <c r="AK275" s="3" t="s">
        <v>6702</v>
      </c>
      <c r="AL275" s="3">
        <v>-364449030</v>
      </c>
      <c r="AM275" s="11">
        <v>2</v>
      </c>
      <c r="AN275" s="20">
        <f t="shared" ref="AN275:AN280" si="42">AN276+AM275</f>
        <v>4</v>
      </c>
      <c r="AO275" s="37">
        <f t="shared" ref="AO275:AO280" si="43">AL275*AN275</f>
        <v>-1457796120</v>
      </c>
      <c r="AP275" s="20" t="s">
        <v>6704</v>
      </c>
      <c r="AR275" t="s">
        <v>25</v>
      </c>
    </row>
    <row r="276" spans="7:48">
      <c r="G276" s="2" t="s">
        <v>6853</v>
      </c>
      <c r="H276" s="3">
        <v>3605149.5994500001</v>
      </c>
      <c r="M276" s="357" t="s">
        <v>5391</v>
      </c>
      <c r="N276" s="1">
        <v>862577.83200000005</v>
      </c>
      <c r="O276" s="370" t="s">
        <v>5511</v>
      </c>
      <c r="P276" s="370">
        <v>307</v>
      </c>
      <c r="Q276" s="18">
        <v>2315.0266360000001</v>
      </c>
      <c r="R276" s="18">
        <f t="shared" si="41"/>
        <v>710713.17725199996</v>
      </c>
      <c r="S276" s="395" t="s">
        <v>4975</v>
      </c>
      <c r="AJ276" s="11">
        <v>256</v>
      </c>
      <c r="AK276" s="3" t="s">
        <v>6710</v>
      </c>
      <c r="AL276" s="3">
        <v>25000000</v>
      </c>
      <c r="AM276" s="11">
        <v>1</v>
      </c>
      <c r="AN276" s="20">
        <f t="shared" si="42"/>
        <v>2</v>
      </c>
      <c r="AO276" s="37">
        <f t="shared" si="43"/>
        <v>50000000</v>
      </c>
      <c r="AP276" s="20" t="s">
        <v>6711</v>
      </c>
    </row>
    <row r="277" spans="7:48">
      <c r="G277" s="354" t="s">
        <v>6861</v>
      </c>
      <c r="H277" s="355">
        <v>2648717.3756280001</v>
      </c>
      <c r="M277" s="357" t="s">
        <v>5392</v>
      </c>
      <c r="N277" s="1">
        <v>920308.446</v>
      </c>
      <c r="O277" s="370" t="s">
        <v>5512</v>
      </c>
      <c r="P277" s="370">
        <v>35</v>
      </c>
      <c r="Q277" s="18">
        <v>2315</v>
      </c>
      <c r="R277" s="18">
        <f t="shared" si="41"/>
        <v>81025</v>
      </c>
      <c r="S277" s="395" t="s">
        <v>5514</v>
      </c>
      <c r="AJ277" s="11">
        <v>256</v>
      </c>
      <c r="AK277" s="3" t="s">
        <v>6716</v>
      </c>
      <c r="AL277" s="3">
        <v>58000000</v>
      </c>
      <c r="AM277" s="11">
        <v>1</v>
      </c>
      <c r="AN277" s="20">
        <f t="shared" si="42"/>
        <v>1</v>
      </c>
      <c r="AO277" s="37">
        <f t="shared" si="43"/>
        <v>58000000</v>
      </c>
      <c r="AP277" s="20" t="s">
        <v>6711</v>
      </c>
    </row>
    <row r="278" spans="7:48" ht="15" customHeight="1">
      <c r="G278" s="354" t="s">
        <v>6863</v>
      </c>
      <c r="H278" s="355">
        <v>3140841.0248159999</v>
      </c>
      <c r="M278" s="357" t="s">
        <v>5394</v>
      </c>
      <c r="N278" s="1">
        <v>4635809.8416840006</v>
      </c>
      <c r="O278" s="370" t="s">
        <v>5515</v>
      </c>
      <c r="P278" s="370">
        <v>94</v>
      </c>
      <c r="Q278" s="18">
        <v>2337.1980119999998</v>
      </c>
      <c r="R278" s="18">
        <f t="shared" si="41"/>
        <v>219696.613128</v>
      </c>
      <c r="S278" s="395" t="s">
        <v>4975</v>
      </c>
      <c r="AA278" s="7"/>
      <c r="AJ278" s="11"/>
      <c r="AK278" s="3"/>
      <c r="AL278" s="3"/>
      <c r="AM278" s="11"/>
      <c r="AN278" s="20">
        <f t="shared" si="42"/>
        <v>0</v>
      </c>
      <c r="AO278" s="37">
        <f t="shared" si="43"/>
        <v>0</v>
      </c>
      <c r="AP278" s="20"/>
    </row>
    <row r="279" spans="7:48">
      <c r="G279" s="354" t="s">
        <v>6864</v>
      </c>
      <c r="H279" s="355">
        <v>1401154.6340009999</v>
      </c>
      <c r="M279" s="357" t="s">
        <v>5416</v>
      </c>
      <c r="N279" s="1">
        <v>288892.40000000002</v>
      </c>
      <c r="O279" s="370" t="s">
        <v>5516</v>
      </c>
      <c r="P279" s="370">
        <v>2534</v>
      </c>
      <c r="Q279" s="18">
        <v>2381.7965300000001</v>
      </c>
      <c r="R279" s="18">
        <f t="shared" si="41"/>
        <v>6035472.4070199998</v>
      </c>
      <c r="S279" s="395" t="s">
        <v>4975</v>
      </c>
      <c r="AA279" t="s">
        <v>25</v>
      </c>
      <c r="AJ279" s="11"/>
      <c r="AK279" s="3"/>
      <c r="AL279" s="3"/>
      <c r="AM279" s="11"/>
      <c r="AN279" s="20">
        <f t="shared" si="42"/>
        <v>0</v>
      </c>
      <c r="AO279" s="37">
        <f t="shared" si="43"/>
        <v>0</v>
      </c>
      <c r="AP279" s="20"/>
      <c r="AV279" t="s">
        <v>25</v>
      </c>
    </row>
    <row r="280" spans="7:48">
      <c r="G280" s="354" t="s">
        <v>6872</v>
      </c>
      <c r="H280" s="355">
        <v>1465766.7556200002</v>
      </c>
      <c r="M280" s="357" t="s">
        <v>5417</v>
      </c>
      <c r="N280" s="1">
        <v>58508002.009000003</v>
      </c>
      <c r="O280" s="370" t="s">
        <v>5517</v>
      </c>
      <c r="P280" s="370">
        <v>424</v>
      </c>
      <c r="Q280" s="18">
        <v>2321.9017680000002</v>
      </c>
      <c r="R280" s="18">
        <f t="shared" si="41"/>
        <v>984486.34963200008</v>
      </c>
      <c r="S280" s="395" t="s">
        <v>4975</v>
      </c>
      <c r="AJ280" s="11"/>
      <c r="AK280" s="3"/>
      <c r="AL280" s="3">
        <v>0</v>
      </c>
      <c r="AM280" s="11"/>
      <c r="AN280" s="20">
        <f t="shared" si="42"/>
        <v>0</v>
      </c>
      <c r="AO280" s="37">
        <f t="shared" si="43"/>
        <v>0</v>
      </c>
      <c r="AP280" s="20"/>
    </row>
    <row r="281" spans="7:48">
      <c r="G281" s="354" t="s">
        <v>6877</v>
      </c>
      <c r="H281" s="355">
        <v>19489152.504344001</v>
      </c>
      <c r="M281" s="357" t="s">
        <v>5419</v>
      </c>
      <c r="N281" s="1">
        <v>2245515.5410799999</v>
      </c>
      <c r="O281" s="189" t="s">
        <v>5518</v>
      </c>
      <c r="P281" s="189">
        <v>-32</v>
      </c>
      <c r="Q281" s="190">
        <v>2221.2123710000001</v>
      </c>
      <c r="R281" s="190">
        <f t="shared" si="41"/>
        <v>-71078.795872000002</v>
      </c>
      <c r="S281" s="394" t="s">
        <v>5521</v>
      </c>
      <c r="AJ281" s="11"/>
      <c r="AK281" s="3"/>
      <c r="AL281" s="3"/>
      <c r="AM281" s="11">
        <v>0</v>
      </c>
      <c r="AN281" s="20">
        <f t="shared" si="39"/>
        <v>0</v>
      </c>
      <c r="AO281" s="37">
        <f t="shared" si="40"/>
        <v>0</v>
      </c>
      <c r="AP281" s="20"/>
      <c r="AU281" t="s">
        <v>25</v>
      </c>
    </row>
    <row r="282" spans="7:48">
      <c r="G282" s="280" t="s">
        <v>6881</v>
      </c>
      <c r="H282" s="281">
        <v>46017582.952047996</v>
      </c>
      <c r="M282" s="357" t="s">
        <v>5419</v>
      </c>
      <c r="N282" s="1">
        <v>18404699.3442</v>
      </c>
      <c r="O282" s="370" t="s">
        <v>5518</v>
      </c>
      <c r="P282" s="370">
        <v>157</v>
      </c>
      <c r="Q282" s="18">
        <v>2221.2123710000001</v>
      </c>
      <c r="R282" s="18">
        <f t="shared" si="41"/>
        <v>348730.34224700002</v>
      </c>
      <c r="S282" s="395" t="s">
        <v>5522</v>
      </c>
      <c r="AJ282" s="11"/>
      <c r="AK282" s="11"/>
      <c r="AL282" s="26">
        <f>SUM(AL20:AL281)</f>
        <v>-122088858.93843603</v>
      </c>
      <c r="AM282" s="11"/>
      <c r="AN282" s="11">
        <v>0</v>
      </c>
      <c r="AO282" s="26">
        <f>SUM(AO20:AO281)</f>
        <v>565909378536.14966</v>
      </c>
      <c r="AP282" s="26">
        <f>AO282*AP285/31</f>
        <v>304258439.09877443</v>
      </c>
    </row>
    <row r="283" spans="7:48">
      <c r="G283" s="354" t="s">
        <v>6891</v>
      </c>
      <c r="H283" s="355">
        <v>7550796.2979680002</v>
      </c>
      <c r="I283" t="s">
        <v>25</v>
      </c>
      <c r="M283" s="357" t="s">
        <v>5422</v>
      </c>
      <c r="N283" s="1">
        <v>48684800</v>
      </c>
      <c r="O283" s="370" t="s">
        <v>5518</v>
      </c>
      <c r="P283" s="370">
        <v>965</v>
      </c>
      <c r="Q283" s="18">
        <v>2221.2123710000001</v>
      </c>
      <c r="R283" s="18">
        <f t="shared" si="41"/>
        <v>2143469.938015</v>
      </c>
      <c r="S283" s="395" t="s">
        <v>4975</v>
      </c>
      <c r="AJ283" s="11"/>
      <c r="AK283" s="11"/>
      <c r="AL283" s="11" t="s">
        <v>3972</v>
      </c>
      <c r="AM283" s="11"/>
      <c r="AN283" s="11"/>
      <c r="AO283" s="11" t="s">
        <v>284</v>
      </c>
      <c r="AP283" s="11" t="s">
        <v>863</v>
      </c>
    </row>
    <row r="284" spans="7:48">
      <c r="G284" s="354" t="s">
        <v>6892</v>
      </c>
      <c r="H284" s="355">
        <v>1688454</v>
      </c>
      <c r="M284" s="357" t="s">
        <v>5423</v>
      </c>
      <c r="N284" s="1">
        <v>2264658.5922190002</v>
      </c>
      <c r="O284" s="189" t="s">
        <v>5524</v>
      </c>
      <c r="P284" s="189">
        <v>596</v>
      </c>
      <c r="Q284" s="190">
        <v>2180.6765719999999</v>
      </c>
      <c r="R284" s="190">
        <f t="shared" si="41"/>
        <v>1299683.236912</v>
      </c>
      <c r="S284" s="394" t="s">
        <v>1005</v>
      </c>
      <c r="AJ284" s="11"/>
      <c r="AK284" s="11"/>
      <c r="AL284" s="11"/>
      <c r="AM284" s="11"/>
      <c r="AN284" s="11"/>
      <c r="AO284" s="11"/>
      <c r="AP284" s="11"/>
    </row>
    <row r="285" spans="7:48">
      <c r="G285" s="354" t="s">
        <v>6899</v>
      </c>
      <c r="H285" s="355">
        <v>10876225.6142</v>
      </c>
      <c r="M285" s="357" t="s">
        <v>5424</v>
      </c>
      <c r="N285" s="1">
        <v>22877413.789960001</v>
      </c>
      <c r="O285" s="370" t="s">
        <v>5528</v>
      </c>
      <c r="P285" s="370">
        <v>1355</v>
      </c>
      <c r="Q285" s="18">
        <v>2277.0926330000002</v>
      </c>
      <c r="R285" s="18">
        <f t="shared" si="41"/>
        <v>3085460.5177150001</v>
      </c>
      <c r="S285" s="395" t="s">
        <v>4975</v>
      </c>
      <c r="AA285" t="s">
        <v>25</v>
      </c>
      <c r="AJ285" s="11"/>
      <c r="AK285" s="11"/>
      <c r="AL285" s="11"/>
      <c r="AM285" s="11"/>
      <c r="AN285" s="11"/>
      <c r="AO285" s="11" t="s">
        <v>3973</v>
      </c>
      <c r="AP285" s="11">
        <v>1.6667000000000001E-2</v>
      </c>
      <c r="AS285" t="s">
        <v>25</v>
      </c>
    </row>
    <row r="286" spans="7:48">
      <c r="G286" s="354" t="s">
        <v>6902</v>
      </c>
      <c r="H286" s="355">
        <v>13024938.86954</v>
      </c>
      <c r="M286" s="357" t="s">
        <v>5425</v>
      </c>
      <c r="N286" s="1">
        <v>2362539.4373280001</v>
      </c>
      <c r="O286" s="370" t="s">
        <v>5529</v>
      </c>
      <c r="P286" s="370">
        <v>3742</v>
      </c>
      <c r="Q286" s="18">
        <v>2207.7650429999999</v>
      </c>
      <c r="R286" s="18">
        <f t="shared" si="41"/>
        <v>8261456.790906</v>
      </c>
      <c r="S286" s="395" t="s">
        <v>4975</v>
      </c>
      <c r="AJ286" s="11"/>
      <c r="AK286" s="11"/>
      <c r="AL286" s="11"/>
      <c r="AM286" s="11"/>
      <c r="AN286" s="11"/>
      <c r="AO286" s="11"/>
      <c r="AP286" s="11"/>
    </row>
    <row r="287" spans="7:48">
      <c r="G287" s="354" t="s">
        <v>6903</v>
      </c>
      <c r="H287" s="355">
        <v>16923049.11036</v>
      </c>
      <c r="M287" s="357" t="s">
        <v>5426</v>
      </c>
      <c r="N287" s="1">
        <v>16042676.656608</v>
      </c>
      <c r="O287" s="370" t="s">
        <v>5530</v>
      </c>
      <c r="P287" s="370">
        <v>3216</v>
      </c>
      <c r="Q287" s="18">
        <v>2043.648557</v>
      </c>
      <c r="R287" s="18">
        <f t="shared" si="41"/>
        <v>6572373.7593120001</v>
      </c>
      <c r="S287" s="395" t="s">
        <v>4975</v>
      </c>
      <c r="AA287" t="s">
        <v>25</v>
      </c>
      <c r="AJ287" s="11"/>
      <c r="AK287" s="11" t="s">
        <v>3974</v>
      </c>
      <c r="AL287" s="26">
        <f>AL282+AP282</f>
        <v>182169580.1603384</v>
      </c>
      <c r="AM287" s="11"/>
      <c r="AN287" s="11"/>
      <c r="AO287" s="11"/>
      <c r="AP287" s="11"/>
    </row>
    <row r="288" spans="7:48">
      <c r="G288" s="354" t="s">
        <v>6905</v>
      </c>
      <c r="H288" s="355">
        <v>3356939.04</v>
      </c>
      <c r="M288" s="357" t="s">
        <v>5427</v>
      </c>
      <c r="N288" s="1">
        <v>18403291.448284</v>
      </c>
      <c r="O288" s="189" t="s">
        <v>5532</v>
      </c>
      <c r="P288" s="189">
        <v>42393</v>
      </c>
      <c r="Q288" s="190">
        <v>2124.4852740000001</v>
      </c>
      <c r="R288" s="190">
        <f t="shared" si="41"/>
        <v>90063304.22068201</v>
      </c>
      <c r="S288" s="394" t="s">
        <v>5533</v>
      </c>
      <c r="AK288" t="s">
        <v>3977</v>
      </c>
      <c r="AL288" s="7">
        <f>SUM(B35:B52)</f>
        <v>14248498408.651163</v>
      </c>
      <c r="AO288" t="s">
        <v>25</v>
      </c>
    </row>
    <row r="289" spans="7:47">
      <c r="G289" s="354" t="s">
        <v>6906</v>
      </c>
      <c r="H289" s="355">
        <v>30163522.767999999</v>
      </c>
      <c r="M289" s="357" t="s">
        <v>5428</v>
      </c>
      <c r="N289" s="1">
        <v>10561447.246918</v>
      </c>
      <c r="O289" s="370" t="s">
        <v>5534</v>
      </c>
      <c r="P289" s="370">
        <v>1307</v>
      </c>
      <c r="Q289" s="18">
        <v>2213.652313</v>
      </c>
      <c r="R289" s="18">
        <f t="shared" si="41"/>
        <v>2893243.5730909999</v>
      </c>
      <c r="S289" s="395" t="s">
        <v>4975</v>
      </c>
      <c r="AA289" t="s">
        <v>25</v>
      </c>
      <c r="AK289" t="s">
        <v>4037</v>
      </c>
      <c r="AL289" s="7">
        <f>AL288-AL282</f>
        <v>14370587267.5896</v>
      </c>
      <c r="AO289" t="s">
        <v>25</v>
      </c>
      <c r="AU289" t="s">
        <v>25</v>
      </c>
    </row>
    <row r="290" spans="7:47">
      <c r="G290" s="354" t="s">
        <v>6907</v>
      </c>
      <c r="H290" s="355">
        <v>26097920.290260002</v>
      </c>
      <c r="M290" s="357" t="s">
        <v>5429</v>
      </c>
      <c r="N290" s="1">
        <v>1226811.9176660001</v>
      </c>
      <c r="O290" s="370" t="s">
        <v>5535</v>
      </c>
      <c r="P290" s="370">
        <v>44079</v>
      </c>
      <c r="Q290" s="18">
        <v>2155.0411519999998</v>
      </c>
      <c r="R290" s="18">
        <f t="shared" si="41"/>
        <v>94992058.939007998</v>
      </c>
      <c r="S290" s="395" t="s">
        <v>4975</v>
      </c>
      <c r="AK290" t="s">
        <v>863</v>
      </c>
      <c r="AL290" s="7">
        <f>AP282</f>
        <v>304258439.09877443</v>
      </c>
      <c r="AP290" t="s">
        <v>25</v>
      </c>
    </row>
    <row r="291" spans="7:47">
      <c r="G291" s="354" t="s">
        <v>6914</v>
      </c>
      <c r="H291" s="355">
        <v>13362052.444619998</v>
      </c>
      <c r="M291" s="357" t="s">
        <v>5431</v>
      </c>
      <c r="N291" s="1">
        <v>39373959.190266006</v>
      </c>
      <c r="O291" s="370" t="s">
        <v>5537</v>
      </c>
      <c r="P291" s="370">
        <v>131</v>
      </c>
      <c r="Q291" s="18">
        <v>2099.4040150000001</v>
      </c>
      <c r="R291" s="18">
        <f t="shared" si="41"/>
        <v>275021.925965</v>
      </c>
      <c r="S291" s="395" t="s">
        <v>4975</v>
      </c>
      <c r="AA291" t="s">
        <v>25</v>
      </c>
      <c r="AK291" t="s">
        <v>3978</v>
      </c>
      <c r="AL291" s="7">
        <f>AL288-AL287</f>
        <v>14066328828.490826</v>
      </c>
      <c r="AP291" t="s">
        <v>25</v>
      </c>
    </row>
    <row r="292" spans="7:47">
      <c r="G292" s="354" t="s">
        <v>6916</v>
      </c>
      <c r="H292" s="355">
        <v>6971813.8000000007</v>
      </c>
      <c r="M292" s="357" t="s">
        <v>5432</v>
      </c>
      <c r="N292" s="1">
        <v>27703487.063980002</v>
      </c>
      <c r="O292" s="370" t="s">
        <v>5541</v>
      </c>
      <c r="P292" s="370">
        <v>162</v>
      </c>
      <c r="Q292" s="18">
        <v>2021.3081500000001</v>
      </c>
      <c r="R292" s="18">
        <f t="shared" si="41"/>
        <v>327451.9203</v>
      </c>
      <c r="S292" s="395" t="s">
        <v>4975</v>
      </c>
      <c r="AA292" t="s">
        <v>25</v>
      </c>
      <c r="AO292" t="s">
        <v>25</v>
      </c>
    </row>
    <row r="293" spans="7:47">
      <c r="G293" s="354" t="s">
        <v>6926</v>
      </c>
      <c r="H293" s="355">
        <v>8908974.7799999993</v>
      </c>
      <c r="M293" s="357" t="s">
        <v>4100</v>
      </c>
      <c r="N293" s="1">
        <v>8738896.6890719999</v>
      </c>
      <c r="O293" s="370" t="s">
        <v>5547</v>
      </c>
      <c r="P293" s="370">
        <v>131</v>
      </c>
      <c r="Q293" s="18">
        <v>1985.358328</v>
      </c>
      <c r="R293" s="18">
        <f t="shared" si="41"/>
        <v>260081.94096800001</v>
      </c>
      <c r="S293" s="395" t="s">
        <v>4975</v>
      </c>
      <c r="AL293" t="s">
        <v>25</v>
      </c>
    </row>
    <row r="294" spans="7:47">
      <c r="G294" s="354"/>
      <c r="H294" s="355"/>
      <c r="M294" s="357" t="s">
        <v>5433</v>
      </c>
      <c r="N294" s="1">
        <v>348201.66738</v>
      </c>
      <c r="O294" s="370" t="s">
        <v>5554</v>
      </c>
      <c r="P294" s="370">
        <v>1449</v>
      </c>
      <c r="Q294" s="18">
        <v>2007.787806</v>
      </c>
      <c r="R294" s="18">
        <f t="shared" si="41"/>
        <v>2909284.5308940001</v>
      </c>
      <c r="S294" s="395" t="s">
        <v>4975</v>
      </c>
    </row>
    <row r="295" spans="7:47">
      <c r="G295" s="354"/>
      <c r="H295" s="355"/>
      <c r="M295" s="357" t="s">
        <v>5437</v>
      </c>
      <c r="N295" s="1">
        <v>4158090.8935679998</v>
      </c>
      <c r="O295" s="370" t="s">
        <v>5555</v>
      </c>
      <c r="P295" s="370">
        <v>19028</v>
      </c>
      <c r="Q295" s="18">
        <v>1982.5102529999999</v>
      </c>
      <c r="R295" s="18">
        <f t="shared" si="41"/>
        <v>37723205.094084002</v>
      </c>
      <c r="S295" s="395" t="s">
        <v>4975</v>
      </c>
    </row>
    <row r="296" spans="7:47">
      <c r="G296" s="354"/>
      <c r="H296" s="355"/>
      <c r="M296" s="357" t="s">
        <v>5434</v>
      </c>
      <c r="N296" s="1">
        <v>110770524.97879399</v>
      </c>
      <c r="O296" s="370" t="s">
        <v>5556</v>
      </c>
      <c r="P296" s="370">
        <v>848</v>
      </c>
      <c r="Q296" s="18">
        <v>1768.97966</v>
      </c>
      <c r="R296" s="18">
        <f t="shared" si="41"/>
        <v>1500094.75168</v>
      </c>
      <c r="S296" s="395" t="s">
        <v>4975</v>
      </c>
      <c r="AA296" t="s">
        <v>25</v>
      </c>
    </row>
    <row r="297" spans="7:47">
      <c r="G297" s="354"/>
      <c r="H297" s="355"/>
      <c r="M297" s="357" t="s">
        <v>5437</v>
      </c>
      <c r="N297" s="1">
        <v>17900000</v>
      </c>
      <c r="O297" s="370" t="s">
        <v>5557</v>
      </c>
      <c r="P297" s="370">
        <v>3824</v>
      </c>
      <c r="Q297" s="18">
        <v>1890.8547169999999</v>
      </c>
      <c r="R297" s="18">
        <f t="shared" si="41"/>
        <v>7230628.4378079996</v>
      </c>
      <c r="S297" s="395" t="s">
        <v>4975</v>
      </c>
    </row>
    <row r="298" spans="7:47">
      <c r="G298" s="354"/>
      <c r="H298" s="355"/>
      <c r="M298" s="357" t="s">
        <v>5448</v>
      </c>
      <c r="N298" s="1">
        <v>12114824.927374</v>
      </c>
      <c r="O298" s="370" t="s">
        <v>5559</v>
      </c>
      <c r="P298" s="370">
        <v>14010</v>
      </c>
      <c r="Q298" s="18">
        <v>2124.7244390000001</v>
      </c>
      <c r="R298" s="18">
        <f t="shared" si="41"/>
        <v>29767389.390390001</v>
      </c>
      <c r="S298" s="395" t="s">
        <v>4975</v>
      </c>
      <c r="AJ298" s="11" t="s">
        <v>3557</v>
      </c>
      <c r="AK298" s="11" t="s">
        <v>180</v>
      </c>
      <c r="AL298" s="11" t="s">
        <v>267</v>
      </c>
      <c r="AM298" s="11" t="s">
        <v>3971</v>
      </c>
      <c r="AN298" s="11" t="s">
        <v>3963</v>
      </c>
      <c r="AO298" s="11" t="s">
        <v>282</v>
      </c>
      <c r="AP298" s="11" t="s">
        <v>4183</v>
      </c>
    </row>
    <row r="299" spans="7:47">
      <c r="G299" s="354"/>
      <c r="H299" s="355"/>
      <c r="M299" s="357" t="s">
        <v>5451</v>
      </c>
      <c r="N299" s="1">
        <v>6684147.0064600008</v>
      </c>
      <c r="O299" s="370" t="s">
        <v>5560</v>
      </c>
      <c r="P299" s="370">
        <v>73</v>
      </c>
      <c r="Q299" s="18">
        <v>2076.1678900000002</v>
      </c>
      <c r="R299" s="18">
        <f t="shared" si="41"/>
        <v>151560.25597</v>
      </c>
      <c r="S299" s="395" t="s">
        <v>4975</v>
      </c>
      <c r="AJ299" s="11">
        <v>1</v>
      </c>
      <c r="AK299" s="11" t="s">
        <v>3863</v>
      </c>
      <c r="AL299" s="37">
        <v>3555820</v>
      </c>
      <c r="AM299" s="11">
        <v>2</v>
      </c>
      <c r="AN299" s="11">
        <f>AM299+AN300</f>
        <v>991</v>
      </c>
      <c r="AO299" s="11">
        <f>AL299*AN299</f>
        <v>3523817620</v>
      </c>
      <c r="AP299" s="11" t="s">
        <v>4198</v>
      </c>
    </row>
    <row r="300" spans="7:47">
      <c r="G300" s="354"/>
      <c r="H300" s="355"/>
      <c r="M300" s="357" t="s">
        <v>5453</v>
      </c>
      <c r="N300" s="1">
        <v>1826535.2307560001</v>
      </c>
      <c r="O300" s="370" t="s">
        <v>5562</v>
      </c>
      <c r="P300" s="370">
        <v>236</v>
      </c>
      <c r="Q300" s="18">
        <v>2039.4867830000001</v>
      </c>
      <c r="R300" s="18">
        <f t="shared" si="41"/>
        <v>481318.88078800001</v>
      </c>
      <c r="S300" s="395" t="s">
        <v>4975</v>
      </c>
      <c r="AJ300" s="11">
        <v>2</v>
      </c>
      <c r="AK300" s="11" t="s">
        <v>3937</v>
      </c>
      <c r="AL300" s="37">
        <v>1720837</v>
      </c>
      <c r="AM300" s="11">
        <v>51</v>
      </c>
      <c r="AN300" s="11">
        <f t="shared" ref="AN300:AN309" si="44">AM300+AN301</f>
        <v>989</v>
      </c>
      <c r="AO300" s="11">
        <f t="shared" ref="AO300:AO328" si="45">AL300*AN300</f>
        <v>1701907793</v>
      </c>
      <c r="AP300" s="11" t="s">
        <v>4199</v>
      </c>
      <c r="AT300" t="s">
        <v>25</v>
      </c>
    </row>
    <row r="301" spans="7:47">
      <c r="G301" s="354"/>
      <c r="H301" s="355"/>
      <c r="M301" s="357" t="s">
        <v>5454</v>
      </c>
      <c r="N301" s="1">
        <v>3577366.94</v>
      </c>
      <c r="O301" s="370" t="s">
        <v>5563</v>
      </c>
      <c r="P301" s="370">
        <v>75</v>
      </c>
      <c r="Q301" s="18">
        <v>1950.3675760000001</v>
      </c>
      <c r="R301" s="18">
        <f t="shared" si="41"/>
        <v>146277.56820000001</v>
      </c>
      <c r="S301" s="395" t="s">
        <v>4975</v>
      </c>
      <c r="AJ301" s="11">
        <v>3</v>
      </c>
      <c r="AK301" s="11" t="s">
        <v>4031</v>
      </c>
      <c r="AL301" s="37">
        <v>150000</v>
      </c>
      <c r="AM301" s="11">
        <v>3</v>
      </c>
      <c r="AN301" s="11">
        <f t="shared" si="44"/>
        <v>938</v>
      </c>
      <c r="AO301" s="11">
        <f t="shared" si="45"/>
        <v>140700000</v>
      </c>
      <c r="AP301" s="11"/>
    </row>
    <row r="302" spans="7:47">
      <c r="G302" s="354"/>
      <c r="H302" s="355"/>
      <c r="M302" s="357" t="s">
        <v>5456</v>
      </c>
      <c r="N302" s="1">
        <v>21239029.173567999</v>
      </c>
      <c r="O302" s="370" t="s">
        <v>5574</v>
      </c>
      <c r="P302" s="370">
        <v>232</v>
      </c>
      <c r="Q302" s="18">
        <v>1830.5750069999999</v>
      </c>
      <c r="R302" s="18">
        <f t="shared" si="41"/>
        <v>424693.40162399999</v>
      </c>
      <c r="S302" s="395" t="s">
        <v>4975</v>
      </c>
      <c r="AJ302" s="11">
        <v>4</v>
      </c>
      <c r="AK302" s="11" t="s">
        <v>4044</v>
      </c>
      <c r="AL302" s="37">
        <v>-95000</v>
      </c>
      <c r="AM302" s="11">
        <v>8</v>
      </c>
      <c r="AN302" s="11">
        <f t="shared" si="44"/>
        <v>935</v>
      </c>
      <c r="AO302" s="11">
        <f t="shared" si="45"/>
        <v>-88825000</v>
      </c>
      <c r="AP302" s="11"/>
    </row>
    <row r="303" spans="7:47">
      <c r="G303" s="354"/>
      <c r="H303" s="355"/>
      <c r="M303" s="357" t="s">
        <v>5460</v>
      </c>
      <c r="N303" s="1">
        <v>242957252.40163299</v>
      </c>
      <c r="O303" s="370" t="s">
        <v>5577</v>
      </c>
      <c r="P303" s="370">
        <v>308</v>
      </c>
      <c r="Q303" s="18">
        <v>1812.728578</v>
      </c>
      <c r="R303" s="18">
        <f t="shared" si="41"/>
        <v>558320.40202399995</v>
      </c>
      <c r="S303" s="395" t="s">
        <v>4975</v>
      </c>
      <c r="AA303" t="s">
        <v>25</v>
      </c>
      <c r="AJ303" s="11">
        <v>5</v>
      </c>
      <c r="AK303" s="11" t="s">
        <v>4068</v>
      </c>
      <c r="AL303" s="37">
        <v>3150000</v>
      </c>
      <c r="AM303" s="11">
        <v>16</v>
      </c>
      <c r="AN303" s="11">
        <f t="shared" si="44"/>
        <v>927</v>
      </c>
      <c r="AO303" s="11">
        <f t="shared" si="45"/>
        <v>2920050000</v>
      </c>
      <c r="AP303" s="11"/>
    </row>
    <row r="304" spans="7:47">
      <c r="G304" s="354"/>
      <c r="H304" s="355"/>
      <c r="M304" s="357" t="s">
        <v>5461</v>
      </c>
      <c r="N304" s="1">
        <v>7357181.2750800001</v>
      </c>
      <c r="O304" s="370" t="s">
        <v>5578</v>
      </c>
      <c r="P304" s="370">
        <v>106</v>
      </c>
      <c r="Q304" s="18">
        <v>1958.8888869</v>
      </c>
      <c r="R304" s="18">
        <f t="shared" si="41"/>
        <v>207642.22201140001</v>
      </c>
      <c r="S304" s="395" t="s">
        <v>4975</v>
      </c>
      <c r="AA304" t="s">
        <v>25</v>
      </c>
      <c r="AJ304" s="11">
        <v>6</v>
      </c>
      <c r="AK304" s="11" t="s">
        <v>4132</v>
      </c>
      <c r="AL304" s="37">
        <v>-65000</v>
      </c>
      <c r="AM304" s="11">
        <v>1</v>
      </c>
      <c r="AN304" s="11">
        <f t="shared" si="44"/>
        <v>911</v>
      </c>
      <c r="AO304" s="11">
        <f t="shared" si="45"/>
        <v>-59215000</v>
      </c>
      <c r="AP304" s="11"/>
    </row>
    <row r="305" spans="7:42">
      <c r="G305" s="354"/>
      <c r="H305" s="355"/>
      <c r="M305" s="357" t="s">
        <v>5463</v>
      </c>
      <c r="N305" s="1">
        <v>14951411.942400001</v>
      </c>
      <c r="O305" s="370" t="s">
        <v>5600</v>
      </c>
      <c r="P305" s="370">
        <v>17050</v>
      </c>
      <c r="Q305" s="18">
        <v>1984.311475</v>
      </c>
      <c r="R305" s="18">
        <f t="shared" si="41"/>
        <v>33832510.64875</v>
      </c>
      <c r="S305" s="395" t="s">
        <v>5601</v>
      </c>
      <c r="AB305" t="s">
        <v>25</v>
      </c>
      <c r="AJ305" s="11">
        <v>7</v>
      </c>
      <c r="AK305" s="11" t="s">
        <v>4200</v>
      </c>
      <c r="AL305" s="37">
        <v>-95000</v>
      </c>
      <c r="AM305" s="11">
        <v>6</v>
      </c>
      <c r="AN305" s="11">
        <f t="shared" si="44"/>
        <v>910</v>
      </c>
      <c r="AO305" s="11">
        <f t="shared" si="45"/>
        <v>-86450000</v>
      </c>
      <c r="AP305" s="11"/>
    </row>
    <row r="306" spans="7:42">
      <c r="G306" s="354"/>
      <c r="H306" s="355"/>
      <c r="M306" s="357" t="s">
        <v>5464</v>
      </c>
      <c r="N306" s="1">
        <v>47928209.377011999</v>
      </c>
      <c r="O306" s="370" t="s">
        <v>5600</v>
      </c>
      <c r="P306" s="370">
        <v>17050</v>
      </c>
      <c r="Q306" s="18">
        <v>1984.311475</v>
      </c>
      <c r="R306" s="18">
        <f t="shared" si="41"/>
        <v>33832510.64875</v>
      </c>
      <c r="S306" s="395" t="s">
        <v>5602</v>
      </c>
      <c r="AA306" t="s">
        <v>25</v>
      </c>
      <c r="AJ306" s="11">
        <v>8</v>
      </c>
      <c r="AK306" s="11" t="s">
        <v>4201</v>
      </c>
      <c r="AL306" s="37">
        <v>232000</v>
      </c>
      <c r="AM306" s="11">
        <v>7</v>
      </c>
      <c r="AN306" s="11">
        <f t="shared" si="44"/>
        <v>904</v>
      </c>
      <c r="AO306" s="11">
        <f t="shared" si="45"/>
        <v>209728000</v>
      </c>
      <c r="AP306" s="11"/>
    </row>
    <row r="307" spans="7:42">
      <c r="G307" s="354"/>
      <c r="H307" s="355"/>
      <c r="M307" s="357" t="s">
        <v>5465</v>
      </c>
      <c r="N307" s="1">
        <v>2281595.69937</v>
      </c>
      <c r="O307" s="370" t="s">
        <v>5604</v>
      </c>
      <c r="P307" s="370">
        <v>9659</v>
      </c>
      <c r="Q307" s="18">
        <v>2073.8685089999999</v>
      </c>
      <c r="R307" s="18">
        <f t="shared" si="41"/>
        <v>20031495.928431001</v>
      </c>
      <c r="S307" s="395" t="s">
        <v>5605</v>
      </c>
      <c r="AA307" t="s">
        <v>25</v>
      </c>
      <c r="AJ307" s="11">
        <v>9</v>
      </c>
      <c r="AK307" s="11" t="s">
        <v>4182</v>
      </c>
      <c r="AL307" s="37">
        <v>13000000</v>
      </c>
      <c r="AM307" s="11">
        <v>2</v>
      </c>
      <c r="AN307" s="11">
        <f t="shared" si="44"/>
        <v>897</v>
      </c>
      <c r="AO307" s="11">
        <f t="shared" si="45"/>
        <v>11661000000</v>
      </c>
      <c r="AP307" s="11"/>
    </row>
    <row r="308" spans="7:42">
      <c r="G308" s="354"/>
      <c r="H308" s="355"/>
      <c r="M308" s="357" t="s">
        <v>5466</v>
      </c>
      <c r="N308" s="1">
        <v>2964916.035069</v>
      </c>
      <c r="O308" s="370" t="s">
        <v>5608</v>
      </c>
      <c r="P308" s="370">
        <v>323</v>
      </c>
      <c r="Q308" s="18">
        <v>1975.162028</v>
      </c>
      <c r="R308" s="18">
        <f t="shared" si="41"/>
        <v>637977.33504399995</v>
      </c>
      <c r="S308" s="395" t="s">
        <v>4975</v>
      </c>
      <c r="AA308" t="s">
        <v>25</v>
      </c>
      <c r="AB308" t="s">
        <v>25</v>
      </c>
      <c r="AJ308" s="11">
        <v>10</v>
      </c>
      <c r="AK308" s="11" t="s">
        <v>4202</v>
      </c>
      <c r="AL308" s="37">
        <v>10000000</v>
      </c>
      <c r="AM308" s="11">
        <v>3</v>
      </c>
      <c r="AN308" s="11">
        <f t="shared" si="44"/>
        <v>895</v>
      </c>
      <c r="AO308" s="11">
        <f t="shared" si="45"/>
        <v>8950000000</v>
      </c>
      <c r="AP308" s="11"/>
    </row>
    <row r="309" spans="7:42">
      <c r="G309" s="354"/>
      <c r="H309" s="355"/>
      <c r="M309" s="357" t="s">
        <v>5467</v>
      </c>
      <c r="N309" s="1">
        <v>6460549.4269619994</v>
      </c>
      <c r="O309" s="370" t="s">
        <v>5609</v>
      </c>
      <c r="P309" s="370">
        <v>238</v>
      </c>
      <c r="Q309" s="18">
        <v>1960.303598</v>
      </c>
      <c r="R309" s="18">
        <f t="shared" si="41"/>
        <v>466552.25632400002</v>
      </c>
      <c r="S309" s="395" t="s">
        <v>4975</v>
      </c>
      <c r="AJ309" s="11">
        <v>11</v>
      </c>
      <c r="AK309" s="11" t="s">
        <v>4192</v>
      </c>
      <c r="AL309" s="37">
        <v>3400000</v>
      </c>
      <c r="AM309" s="11">
        <v>9</v>
      </c>
      <c r="AN309" s="11">
        <f t="shared" si="44"/>
        <v>892</v>
      </c>
      <c r="AO309" s="11">
        <f t="shared" si="45"/>
        <v>3032800000</v>
      </c>
      <c r="AP309" s="11"/>
    </row>
    <row r="310" spans="7:42">
      <c r="G310" s="354"/>
      <c r="H310" s="355"/>
      <c r="M310" s="357" t="s">
        <v>5469</v>
      </c>
      <c r="N310" s="1">
        <v>5212319.8968359996</v>
      </c>
      <c r="O310" s="370" t="s">
        <v>5610</v>
      </c>
      <c r="P310" s="370">
        <v>75</v>
      </c>
      <c r="Q310" s="18">
        <v>1990.893174</v>
      </c>
      <c r="R310" s="18">
        <f t="shared" si="41"/>
        <v>149316.98805000001</v>
      </c>
      <c r="S310" s="395" t="s">
        <v>5611</v>
      </c>
      <c r="AJ310" s="11">
        <v>12</v>
      </c>
      <c r="AK310" s="11" t="s">
        <v>4228</v>
      </c>
      <c r="AL310" s="37">
        <v>-8736514</v>
      </c>
      <c r="AM310" s="11">
        <v>1</v>
      </c>
      <c r="AN310" s="11">
        <f>AM310+AN311</f>
        <v>883</v>
      </c>
      <c r="AO310" s="11">
        <f t="shared" si="45"/>
        <v>-7714341862</v>
      </c>
      <c r="AP310" s="11"/>
    </row>
    <row r="311" spans="7:42">
      <c r="G311" s="354"/>
      <c r="H311" s="355"/>
      <c r="M311" s="357" t="s">
        <v>5470</v>
      </c>
      <c r="N311" s="1">
        <v>4524496.4792809999</v>
      </c>
      <c r="O311" s="370" t="s">
        <v>5610</v>
      </c>
      <c r="P311" s="370">
        <v>95</v>
      </c>
      <c r="Q311" s="18">
        <v>1990.893174</v>
      </c>
      <c r="R311" s="18">
        <f t="shared" si="41"/>
        <v>189134.85153000001</v>
      </c>
      <c r="S311" s="395" t="s">
        <v>4975</v>
      </c>
      <c r="AC311" t="s">
        <v>25</v>
      </c>
      <c r="AJ311" s="11">
        <v>13</v>
      </c>
      <c r="AK311" s="11" t="s">
        <v>4229</v>
      </c>
      <c r="AL311" s="37">
        <v>555000</v>
      </c>
      <c r="AM311" s="11">
        <v>5</v>
      </c>
      <c r="AN311" s="11">
        <f t="shared" ref="AN311:AN327" si="46">AM311+AN312</f>
        <v>882</v>
      </c>
      <c r="AO311" s="11">
        <f t="shared" si="45"/>
        <v>489510000</v>
      </c>
      <c r="AP311" s="11"/>
    </row>
    <row r="312" spans="7:42">
      <c r="G312" s="2"/>
      <c r="H312" s="3"/>
      <c r="M312" s="357" t="s">
        <v>5471</v>
      </c>
      <c r="N312" s="1">
        <v>22866040.240959998</v>
      </c>
      <c r="O312" s="370" t="s">
        <v>5612</v>
      </c>
      <c r="P312" s="370">
        <v>284</v>
      </c>
      <c r="Q312" s="18">
        <v>1989.045169</v>
      </c>
      <c r="R312" s="18">
        <f t="shared" si="41"/>
        <v>564888.82799599995</v>
      </c>
      <c r="S312" s="395" t="s">
        <v>4975</v>
      </c>
      <c r="AB312" t="s">
        <v>25</v>
      </c>
      <c r="AJ312" s="11">
        <v>14</v>
      </c>
      <c r="AK312" s="11" t="s">
        <v>4250</v>
      </c>
      <c r="AL312" s="37">
        <v>-448308</v>
      </c>
      <c r="AM312" s="11">
        <v>6</v>
      </c>
      <c r="AN312" s="11">
        <f t="shared" si="46"/>
        <v>877</v>
      </c>
      <c r="AO312" s="11">
        <f t="shared" si="45"/>
        <v>-393166116</v>
      </c>
      <c r="AP312" s="11"/>
    </row>
    <row r="313" spans="7:42">
      <c r="G313" s="2"/>
      <c r="H313" s="3"/>
      <c r="M313" s="357" t="s">
        <v>5473</v>
      </c>
      <c r="N313" s="1">
        <v>15359304.269892</v>
      </c>
      <c r="O313" s="189" t="s">
        <v>5615</v>
      </c>
      <c r="P313" s="189">
        <v>11034</v>
      </c>
      <c r="Q313" s="190">
        <v>1960.6845390000001</v>
      </c>
      <c r="R313" s="190">
        <f t="shared" si="41"/>
        <v>21634193.203326002</v>
      </c>
      <c r="S313" s="394" t="s">
        <v>5618</v>
      </c>
      <c r="AJ313" s="11">
        <v>15</v>
      </c>
      <c r="AK313" s="11" t="s">
        <v>4277</v>
      </c>
      <c r="AL313" s="37">
        <v>33225</v>
      </c>
      <c r="AM313" s="11">
        <v>0</v>
      </c>
      <c r="AN313" s="11">
        <f t="shared" si="46"/>
        <v>871</v>
      </c>
      <c r="AO313" s="11">
        <f t="shared" si="45"/>
        <v>28938975</v>
      </c>
      <c r="AP313" s="11"/>
    </row>
    <row r="314" spans="7:42">
      <c r="G314" s="2" t="s">
        <v>5329</v>
      </c>
      <c r="H314" s="3">
        <v>-87000000</v>
      </c>
      <c r="M314" s="357" t="s">
        <v>5474</v>
      </c>
      <c r="N314" s="1">
        <v>2868508.1846330003</v>
      </c>
      <c r="O314" s="370" t="s">
        <v>5615</v>
      </c>
      <c r="P314" s="370">
        <v>4469</v>
      </c>
      <c r="Q314" s="18">
        <v>1960.6845390000001</v>
      </c>
      <c r="R314" s="18">
        <f t="shared" si="41"/>
        <v>8762299.2047910001</v>
      </c>
      <c r="S314" s="395" t="s">
        <v>5619</v>
      </c>
      <c r="AJ314" s="97">
        <v>16</v>
      </c>
      <c r="AK314" s="97" t="s">
        <v>4277</v>
      </c>
      <c r="AL314" s="131">
        <v>4098523</v>
      </c>
      <c r="AM314" s="97">
        <v>2</v>
      </c>
      <c r="AN314" s="97">
        <f t="shared" si="46"/>
        <v>871</v>
      </c>
      <c r="AO314" s="97">
        <f t="shared" si="45"/>
        <v>3569813533</v>
      </c>
      <c r="AP314" s="97" t="s">
        <v>606</v>
      </c>
    </row>
    <row r="315" spans="7:42">
      <c r="G315" s="2"/>
      <c r="H315" s="3"/>
      <c r="M315" s="357" t="s">
        <v>5475</v>
      </c>
      <c r="N315" s="1">
        <v>17450393.011856001</v>
      </c>
      <c r="O315" s="370" t="s">
        <v>5615</v>
      </c>
      <c r="P315" s="370">
        <v>-174834</v>
      </c>
      <c r="Q315" s="18">
        <v>1955.271154</v>
      </c>
      <c r="R315" s="18">
        <f t="shared" si="41"/>
        <v>-341847876.93843603</v>
      </c>
      <c r="S315" s="395" t="s">
        <v>5620</v>
      </c>
      <c r="AJ315" s="97">
        <v>17</v>
      </c>
      <c r="AK315" s="97" t="s">
        <v>4287</v>
      </c>
      <c r="AL315" s="131">
        <v>-1000000</v>
      </c>
      <c r="AM315" s="97">
        <v>7</v>
      </c>
      <c r="AN315" s="97">
        <f t="shared" si="46"/>
        <v>869</v>
      </c>
      <c r="AO315" s="97">
        <f t="shared" si="45"/>
        <v>-869000000</v>
      </c>
      <c r="AP315" s="97" t="s">
        <v>606</v>
      </c>
    </row>
    <row r="316" spans="7:42">
      <c r="G316" s="2"/>
      <c r="H316" s="1"/>
      <c r="M316" s="357" t="s">
        <v>5476</v>
      </c>
      <c r="N316" s="1">
        <v>31388943.254850004</v>
      </c>
      <c r="O316" s="370" t="s">
        <v>5615</v>
      </c>
      <c r="P316" s="370">
        <v>-78942</v>
      </c>
      <c r="Q316" s="18">
        <v>1955.271154</v>
      </c>
      <c r="R316" s="18">
        <f t="shared" si="41"/>
        <v>-154353015.43906799</v>
      </c>
      <c r="S316" s="395" t="s">
        <v>5621</v>
      </c>
      <c r="AJ316" s="97">
        <v>18</v>
      </c>
      <c r="AK316" s="97" t="s">
        <v>4307</v>
      </c>
      <c r="AL316" s="131">
        <v>750000</v>
      </c>
      <c r="AM316" s="97">
        <v>1</v>
      </c>
      <c r="AN316" s="97">
        <f t="shared" si="46"/>
        <v>862</v>
      </c>
      <c r="AO316" s="97">
        <f t="shared" si="45"/>
        <v>646500000</v>
      </c>
      <c r="AP316" s="97" t="s">
        <v>606</v>
      </c>
    </row>
    <row r="317" spans="7:42">
      <c r="G317" s="2"/>
      <c r="H317" s="1"/>
      <c r="M317" s="357" t="s">
        <v>5478</v>
      </c>
      <c r="N317" s="1">
        <v>30912095.373174001</v>
      </c>
      <c r="O317" s="189" t="s">
        <v>5615</v>
      </c>
      <c r="P317" s="189">
        <v>-11518</v>
      </c>
      <c r="Q317" s="190">
        <v>1955.271154</v>
      </c>
      <c r="R317" s="190">
        <f t="shared" si="41"/>
        <v>-22520813.151772</v>
      </c>
      <c r="S317" s="394" t="s">
        <v>5622</v>
      </c>
      <c r="AC317" t="s">
        <v>25</v>
      </c>
      <c r="AJ317" s="135">
        <v>19</v>
      </c>
      <c r="AK317" s="135" t="s">
        <v>4308</v>
      </c>
      <c r="AL317" s="136">
        <v>-604152</v>
      </c>
      <c r="AM317" s="135">
        <v>0</v>
      </c>
      <c r="AN317" s="135">
        <f t="shared" si="46"/>
        <v>861</v>
      </c>
      <c r="AO317" s="135">
        <f t="shared" si="45"/>
        <v>-520174872</v>
      </c>
      <c r="AP317" s="135" t="s">
        <v>606</v>
      </c>
    </row>
    <row r="318" spans="7:42">
      <c r="G318" s="2"/>
      <c r="H318" s="1"/>
      <c r="M318" s="357" t="s">
        <v>5479</v>
      </c>
      <c r="N318" s="1">
        <v>19602926.115093999</v>
      </c>
      <c r="O318" s="370" t="s">
        <v>5633</v>
      </c>
      <c r="P318" s="370">
        <v>8622</v>
      </c>
      <c r="Q318" s="18">
        <v>1930.4022150000001</v>
      </c>
      <c r="R318" s="18">
        <f t="shared" si="41"/>
        <v>16643927.89773</v>
      </c>
      <c r="S318" s="395" t="s">
        <v>690</v>
      </c>
      <c r="AJ318" s="11">
        <v>20</v>
      </c>
      <c r="AK318" s="11" t="s">
        <v>4309</v>
      </c>
      <c r="AL318" s="37">
        <v>-587083</v>
      </c>
      <c r="AM318" s="11">
        <v>4</v>
      </c>
      <c r="AN318" s="11">
        <f t="shared" si="46"/>
        <v>861</v>
      </c>
      <c r="AO318" s="11">
        <f t="shared" si="45"/>
        <v>-505478463</v>
      </c>
      <c r="AP318" s="11"/>
    </row>
    <row r="319" spans="7:42">
      <c r="G319" s="2" t="s">
        <v>6</v>
      </c>
      <c r="H319" s="1">
        <f>SUM(H69:H318)</f>
        <v>2012371706.2336323</v>
      </c>
      <c r="M319" s="357" t="s">
        <v>5480</v>
      </c>
      <c r="N319" s="1">
        <v>34458590.308710001</v>
      </c>
      <c r="O319" s="370" t="s">
        <v>5634</v>
      </c>
      <c r="P319" s="370">
        <v>17384</v>
      </c>
      <c r="Q319" s="18">
        <v>1918.745255</v>
      </c>
      <c r="R319" s="18">
        <f t="shared" si="41"/>
        <v>33355467.51292</v>
      </c>
      <c r="S319" s="395" t="s">
        <v>690</v>
      </c>
      <c r="AJ319" s="135">
        <v>21</v>
      </c>
      <c r="AK319" s="135" t="s">
        <v>4310</v>
      </c>
      <c r="AL319" s="136">
        <v>-754351</v>
      </c>
      <c r="AM319" s="135">
        <v>0</v>
      </c>
      <c r="AN319" s="97">
        <f t="shared" si="46"/>
        <v>857</v>
      </c>
      <c r="AO319" s="135">
        <f t="shared" si="45"/>
        <v>-646478807</v>
      </c>
      <c r="AP319" s="135" t="s">
        <v>606</v>
      </c>
    </row>
    <row r="320" spans="7:42">
      <c r="G320" s="201"/>
      <c r="H320" s="1"/>
      <c r="M320" s="357" t="s">
        <v>5481</v>
      </c>
      <c r="N320" s="1">
        <v>21697868.203256</v>
      </c>
      <c r="O320" s="370" t="s">
        <v>5637</v>
      </c>
      <c r="P320" s="370">
        <v>133</v>
      </c>
      <c r="Q320" s="18">
        <v>1954.8389770000001</v>
      </c>
      <c r="R320" s="18">
        <f t="shared" si="41"/>
        <v>259993.58394100002</v>
      </c>
      <c r="S320" s="395" t="s">
        <v>4975</v>
      </c>
      <c r="AA320" t="s">
        <v>25</v>
      </c>
      <c r="AJ320" s="11">
        <v>22</v>
      </c>
      <c r="AK320" s="11" t="s">
        <v>4310</v>
      </c>
      <c r="AL320" s="37">
        <v>-189619</v>
      </c>
      <c r="AM320" s="11">
        <v>15</v>
      </c>
      <c r="AN320" s="11">
        <f t="shared" si="46"/>
        <v>857</v>
      </c>
      <c r="AO320" s="11">
        <f t="shared" si="45"/>
        <v>-162503483</v>
      </c>
      <c r="AP320" s="11"/>
    </row>
    <row r="321" spans="13:46">
      <c r="M321" s="357" t="s">
        <v>5482</v>
      </c>
      <c r="N321" s="1">
        <v>25340079.252110001</v>
      </c>
      <c r="O321" s="370" t="s">
        <v>5638</v>
      </c>
      <c r="P321" s="370">
        <v>140</v>
      </c>
      <c r="Q321" s="18">
        <v>1928.2522289999999</v>
      </c>
      <c r="R321" s="18">
        <f t="shared" si="41"/>
        <v>269955.31205999997</v>
      </c>
      <c r="S321" s="395" t="s">
        <v>4975</v>
      </c>
      <c r="AB321" t="s">
        <v>25</v>
      </c>
      <c r="AC321" t="s">
        <v>25</v>
      </c>
      <c r="AJ321" s="135">
        <v>23</v>
      </c>
      <c r="AK321" s="135" t="s">
        <v>4364</v>
      </c>
      <c r="AL321" s="131">
        <v>7100</v>
      </c>
      <c r="AM321" s="135">
        <v>0</v>
      </c>
      <c r="AN321" s="97">
        <f t="shared" si="46"/>
        <v>842</v>
      </c>
      <c r="AO321" s="135">
        <f t="shared" si="45"/>
        <v>5978200</v>
      </c>
      <c r="AP321" s="135" t="s">
        <v>606</v>
      </c>
    </row>
    <row r="322" spans="13:46">
      <c r="M322" s="357" t="s">
        <v>5484</v>
      </c>
      <c r="N322" s="1">
        <v>14780983.183526</v>
      </c>
      <c r="O322" s="370" t="s">
        <v>5984</v>
      </c>
      <c r="P322" s="370">
        <v>15839</v>
      </c>
      <c r="Q322" s="18">
        <v>1893.9957079999999</v>
      </c>
      <c r="R322" s="18">
        <f t="shared" si="41"/>
        <v>29998998.019012</v>
      </c>
      <c r="S322" s="395" t="s">
        <v>5983</v>
      </c>
      <c r="AA322" t="s">
        <v>25</v>
      </c>
      <c r="AJ322" s="20">
        <v>24</v>
      </c>
      <c r="AK322" s="20" t="s">
        <v>4364</v>
      </c>
      <c r="AL322" s="37">
        <v>-147902</v>
      </c>
      <c r="AM322" s="20">
        <v>3</v>
      </c>
      <c r="AN322" s="11">
        <f t="shared" si="46"/>
        <v>842</v>
      </c>
      <c r="AO322" s="20">
        <f t="shared" si="45"/>
        <v>-124533484</v>
      </c>
      <c r="AP322" s="20"/>
    </row>
    <row r="323" spans="13:46">
      <c r="M323" s="357" t="s">
        <v>5484</v>
      </c>
      <c r="N323" s="1">
        <v>17804396.448481999</v>
      </c>
      <c r="O323" s="370" t="s">
        <v>5985</v>
      </c>
      <c r="P323" s="370">
        <v>26601</v>
      </c>
      <c r="Q323" s="18">
        <v>1880.082026</v>
      </c>
      <c r="R323" s="18">
        <f t="shared" si="41"/>
        <v>50012061.973626003</v>
      </c>
      <c r="S323" s="395" t="s">
        <v>5213</v>
      </c>
      <c r="AJ323" s="97">
        <v>25</v>
      </c>
      <c r="AK323" s="97" t="s">
        <v>4368</v>
      </c>
      <c r="AL323" s="131">
        <v>-37200</v>
      </c>
      <c r="AM323" s="97">
        <v>4</v>
      </c>
      <c r="AN323" s="97">
        <f t="shared" si="46"/>
        <v>839</v>
      </c>
      <c r="AO323" s="135">
        <f t="shared" si="45"/>
        <v>-31210800</v>
      </c>
      <c r="AP323" s="97" t="s">
        <v>606</v>
      </c>
    </row>
    <row r="324" spans="13:46">
      <c r="M324" s="357" t="s">
        <v>5487</v>
      </c>
      <c r="N324" s="1">
        <v>260260000</v>
      </c>
      <c r="O324" s="189" t="s">
        <v>5985</v>
      </c>
      <c r="P324" s="189">
        <v>10637</v>
      </c>
      <c r="Q324" s="190">
        <v>1880.082026</v>
      </c>
      <c r="R324" s="190">
        <f t="shared" si="41"/>
        <v>19998432.510561999</v>
      </c>
      <c r="S324" s="394" t="s">
        <v>5986</v>
      </c>
      <c r="AJ324" s="11">
        <v>26</v>
      </c>
      <c r="AK324" s="11" t="s">
        <v>4391</v>
      </c>
      <c r="AL324" s="37">
        <v>-372326</v>
      </c>
      <c r="AM324" s="11">
        <v>21</v>
      </c>
      <c r="AN324" s="11">
        <f t="shared" si="46"/>
        <v>835</v>
      </c>
      <c r="AO324" s="20">
        <f t="shared" si="45"/>
        <v>-310892210</v>
      </c>
      <c r="AP324" s="11"/>
    </row>
    <row r="325" spans="13:46">
      <c r="M325" s="357" t="s">
        <v>5488</v>
      </c>
      <c r="N325" s="1">
        <v>11538335.631417999</v>
      </c>
      <c r="O325" s="370" t="s">
        <v>5990</v>
      </c>
      <c r="P325" s="370">
        <v>306</v>
      </c>
      <c r="Q325" s="18">
        <v>1831.8117119999999</v>
      </c>
      <c r="R325" s="18">
        <f t="shared" si="41"/>
        <v>560534.38387200003</v>
      </c>
      <c r="S325" s="395" t="s">
        <v>4975</v>
      </c>
      <c r="AA325" t="s">
        <v>25</v>
      </c>
      <c r="AJ325" s="11">
        <v>27</v>
      </c>
      <c r="AK325" s="11" t="s">
        <v>4435</v>
      </c>
      <c r="AL325" s="37">
        <v>235062</v>
      </c>
      <c r="AM325" s="11">
        <v>0</v>
      </c>
      <c r="AN325" s="11">
        <f t="shared" si="46"/>
        <v>814</v>
      </c>
      <c r="AO325" s="20">
        <f t="shared" si="45"/>
        <v>191340468</v>
      </c>
      <c r="AP325" s="11"/>
    </row>
    <row r="326" spans="13:46">
      <c r="M326" s="357" t="s">
        <v>5496</v>
      </c>
      <c r="N326" s="1">
        <v>12429517.767776001</v>
      </c>
      <c r="O326" s="370" t="s">
        <v>5992</v>
      </c>
      <c r="P326" s="370">
        <v>325</v>
      </c>
      <c r="Q326" s="18">
        <v>1789.1845169999999</v>
      </c>
      <c r="R326" s="18">
        <f t="shared" si="41"/>
        <v>581484.96802499995</v>
      </c>
      <c r="S326" s="395" t="s">
        <v>4975</v>
      </c>
      <c r="AA326" t="s">
        <v>25</v>
      </c>
      <c r="AJ326" s="97">
        <v>28</v>
      </c>
      <c r="AK326" s="97" t="s">
        <v>4435</v>
      </c>
      <c r="AL326" s="131">
        <v>235062</v>
      </c>
      <c r="AM326" s="97">
        <v>9</v>
      </c>
      <c r="AN326" s="11">
        <f t="shared" si="46"/>
        <v>814</v>
      </c>
      <c r="AO326" s="97">
        <f t="shared" si="45"/>
        <v>191340468</v>
      </c>
      <c r="AP326" s="97" t="s">
        <v>606</v>
      </c>
    </row>
    <row r="327" spans="13:46">
      <c r="M327" s="357" t="s">
        <v>5498</v>
      </c>
      <c r="N327" s="1">
        <v>5031176.5087869996</v>
      </c>
      <c r="O327" s="370" t="s">
        <v>5994</v>
      </c>
      <c r="P327" s="370">
        <v>1154</v>
      </c>
      <c r="Q327" s="18">
        <v>1851.788857</v>
      </c>
      <c r="R327" s="18">
        <f t="shared" si="41"/>
        <v>2136964.3409779998</v>
      </c>
      <c r="S327" s="395" t="s">
        <v>4975</v>
      </c>
      <c r="AJ327" s="97">
        <v>29</v>
      </c>
      <c r="AK327" s="97" t="s">
        <v>4452</v>
      </c>
      <c r="AL327" s="131">
        <v>450000</v>
      </c>
      <c r="AM327" s="97">
        <v>0</v>
      </c>
      <c r="AN327" s="11">
        <f t="shared" si="46"/>
        <v>805</v>
      </c>
      <c r="AO327" s="97">
        <f t="shared" si="45"/>
        <v>362250000</v>
      </c>
      <c r="AP327" s="97" t="s">
        <v>606</v>
      </c>
    </row>
    <row r="328" spans="13:46">
      <c r="M328" s="357" t="s">
        <v>5502</v>
      </c>
      <c r="N328" s="1">
        <v>6822803.9080700008</v>
      </c>
      <c r="O328" s="370" t="s">
        <v>5994</v>
      </c>
      <c r="P328" s="370">
        <v>3240</v>
      </c>
      <c r="Q328" s="18">
        <v>1851.788857</v>
      </c>
      <c r="R328" s="18">
        <f t="shared" si="41"/>
        <v>5999795.8966800002</v>
      </c>
      <c r="S328" s="395" t="s">
        <v>5995</v>
      </c>
      <c r="AJ328" s="20">
        <v>30</v>
      </c>
      <c r="AK328" s="20" t="s">
        <v>4452</v>
      </c>
      <c r="AL328" s="37">
        <v>450000</v>
      </c>
      <c r="AM328" s="20">
        <v>22</v>
      </c>
      <c r="AN328" s="11">
        <f>AM328+AN329</f>
        <v>805</v>
      </c>
      <c r="AO328" s="20">
        <f t="shared" si="45"/>
        <v>362250000</v>
      </c>
      <c r="AP328" s="20"/>
    </row>
    <row r="329" spans="13:46">
      <c r="M329" s="357" t="s">
        <v>5510</v>
      </c>
      <c r="N329" s="1">
        <v>330889.73324399994</v>
      </c>
      <c r="O329" s="370" t="s">
        <v>5994</v>
      </c>
      <c r="P329" s="370">
        <v>-3240</v>
      </c>
      <c r="Q329" s="18">
        <v>1851.788857</v>
      </c>
      <c r="R329" s="18">
        <f t="shared" si="41"/>
        <v>-5999795.8966800002</v>
      </c>
      <c r="S329" s="395" t="s">
        <v>5996</v>
      </c>
      <c r="AJ329" s="97">
        <v>31</v>
      </c>
      <c r="AK329" s="97" t="s">
        <v>4511</v>
      </c>
      <c r="AL329" s="131">
        <v>300000</v>
      </c>
      <c r="AM329" s="97">
        <v>0</v>
      </c>
      <c r="AN329" s="97">
        <f t="shared" ref="AN329:AN344" si="47">AM329+AN330</f>
        <v>783</v>
      </c>
      <c r="AO329" s="97">
        <f t="shared" ref="AO329:AO338" si="48">AL329*AN329</f>
        <v>234900000</v>
      </c>
      <c r="AP329" s="97"/>
    </row>
    <row r="330" spans="13:46" ht="30">
      <c r="M330" s="357" t="s">
        <v>5511</v>
      </c>
      <c r="N330" s="1">
        <v>6610318.1610199995</v>
      </c>
      <c r="O330" s="370" t="s">
        <v>5997</v>
      </c>
      <c r="P330" s="370">
        <v>330</v>
      </c>
      <c r="Q330" s="18">
        <v>1799.34311</v>
      </c>
      <c r="R330" s="18">
        <f t="shared" si="41"/>
        <v>593783.22629999998</v>
      </c>
      <c r="S330" s="395" t="s">
        <v>4975</v>
      </c>
      <c r="AJ330" s="53">
        <v>32</v>
      </c>
      <c r="AK330" s="53" t="s">
        <v>4511</v>
      </c>
      <c r="AL330" s="54">
        <v>288936</v>
      </c>
      <c r="AM330" s="53">
        <v>3</v>
      </c>
      <c r="AN330" s="53">
        <f t="shared" si="47"/>
        <v>783</v>
      </c>
      <c r="AO330" s="53">
        <f t="shared" si="48"/>
        <v>226236888</v>
      </c>
      <c r="AP330" s="141" t="s">
        <v>4522</v>
      </c>
    </row>
    <row r="331" spans="13:46">
      <c r="M331" s="357" t="s">
        <v>5512</v>
      </c>
      <c r="N331" s="1">
        <v>710713.17725199996</v>
      </c>
      <c r="O331" s="370" t="s">
        <v>6001</v>
      </c>
      <c r="P331" s="370">
        <v>266</v>
      </c>
      <c r="Q331" s="18">
        <v>1764.9246700000001</v>
      </c>
      <c r="R331" s="18">
        <f t="shared" si="41"/>
        <v>469469.96222000004</v>
      </c>
      <c r="S331" s="395" t="s">
        <v>4975</v>
      </c>
      <c r="AB331" t="s">
        <v>25</v>
      </c>
      <c r="AJ331" s="53">
        <v>33</v>
      </c>
      <c r="AK331" s="53" t="s">
        <v>4520</v>
      </c>
      <c r="AL331" s="54">
        <v>17962491</v>
      </c>
      <c r="AM331" s="53">
        <v>1</v>
      </c>
      <c r="AN331" s="53">
        <f t="shared" si="47"/>
        <v>780</v>
      </c>
      <c r="AO331" s="53">
        <f t="shared" si="48"/>
        <v>14010742980</v>
      </c>
      <c r="AP331" s="53" t="s">
        <v>4526</v>
      </c>
    </row>
    <row r="332" spans="13:46">
      <c r="M332" s="357" t="s">
        <v>5515</v>
      </c>
      <c r="N332" s="1">
        <v>81025</v>
      </c>
      <c r="O332" s="189" t="s">
        <v>6005</v>
      </c>
      <c r="P332" s="189">
        <v>-10637</v>
      </c>
      <c r="Q332" s="190">
        <v>1739.5916549999999</v>
      </c>
      <c r="R332" s="190">
        <f t="shared" si="41"/>
        <v>-18504036.434234999</v>
      </c>
      <c r="S332" s="394" t="s">
        <v>6008</v>
      </c>
      <c r="AA332" t="s">
        <v>25</v>
      </c>
      <c r="AB332" t="s">
        <v>25</v>
      </c>
      <c r="AJ332" s="53">
        <v>34</v>
      </c>
      <c r="AK332" s="53" t="s">
        <v>3599</v>
      </c>
      <c r="AL332" s="54">
        <v>18363511</v>
      </c>
      <c r="AM332" s="53">
        <v>1</v>
      </c>
      <c r="AN332" s="53">
        <f t="shared" si="47"/>
        <v>779</v>
      </c>
      <c r="AO332" s="53">
        <f t="shared" si="48"/>
        <v>14305175069</v>
      </c>
      <c r="AP332" s="53" t="s">
        <v>4526</v>
      </c>
      <c r="AT332" t="s">
        <v>25</v>
      </c>
    </row>
    <row r="333" spans="13:46">
      <c r="M333" s="357" t="s">
        <v>5516</v>
      </c>
      <c r="N333" s="1">
        <v>219696.613128</v>
      </c>
      <c r="O333" s="370" t="s">
        <v>6005</v>
      </c>
      <c r="P333" s="370">
        <v>10637</v>
      </c>
      <c r="Q333" s="18">
        <v>1739.5916549999999</v>
      </c>
      <c r="R333" s="18">
        <f t="shared" si="41"/>
        <v>18504036.434234999</v>
      </c>
      <c r="S333" s="395" t="s">
        <v>6009</v>
      </c>
      <c r="AA333" t="s">
        <v>25</v>
      </c>
      <c r="AJ333" s="53">
        <v>35</v>
      </c>
      <c r="AK333" s="53" t="s">
        <v>4531</v>
      </c>
      <c r="AL333" s="54">
        <v>23622417</v>
      </c>
      <c r="AM333" s="53">
        <v>5</v>
      </c>
      <c r="AN333" s="53">
        <f t="shared" si="47"/>
        <v>778</v>
      </c>
      <c r="AO333" s="53">
        <f t="shared" si="48"/>
        <v>18378240426</v>
      </c>
      <c r="AP333" s="53" t="s">
        <v>4532</v>
      </c>
    </row>
    <row r="334" spans="13:46">
      <c r="M334" s="357" t="s">
        <v>5517</v>
      </c>
      <c r="N334" s="1">
        <v>6035472.4070199998</v>
      </c>
      <c r="O334" s="370" t="s">
        <v>6031</v>
      </c>
      <c r="P334" s="370">
        <v>39478</v>
      </c>
      <c r="Q334" s="18">
        <v>1873.903047</v>
      </c>
      <c r="R334" s="18">
        <f t="shared" si="41"/>
        <v>73977944.489465997</v>
      </c>
      <c r="S334" s="395" t="s">
        <v>6032</v>
      </c>
      <c r="AC334" t="s">
        <v>25</v>
      </c>
      <c r="AJ334" s="53">
        <v>36</v>
      </c>
      <c r="AK334" s="53" t="s">
        <v>4543</v>
      </c>
      <c r="AL334" s="54">
        <v>82496108</v>
      </c>
      <c r="AM334" s="53">
        <v>1</v>
      </c>
      <c r="AN334" s="53">
        <f t="shared" si="47"/>
        <v>773</v>
      </c>
      <c r="AO334" s="53">
        <f t="shared" si="48"/>
        <v>63769491484</v>
      </c>
      <c r="AP334" s="53" t="s">
        <v>4546</v>
      </c>
    </row>
    <row r="335" spans="13:46">
      <c r="M335" s="357" t="s">
        <v>5518</v>
      </c>
      <c r="N335" s="1">
        <v>984486.34963200008</v>
      </c>
      <c r="O335" s="370" t="s">
        <v>6035</v>
      </c>
      <c r="P335" s="370">
        <v>283</v>
      </c>
      <c r="Q335" s="18">
        <v>2014.7222959999999</v>
      </c>
      <c r="R335" s="18">
        <f t="shared" si="41"/>
        <v>570166.40976800001</v>
      </c>
      <c r="S335" s="395" t="s">
        <v>6036</v>
      </c>
      <c r="AJ335" s="53">
        <v>37</v>
      </c>
      <c r="AK335" s="53" t="s">
        <v>4545</v>
      </c>
      <c r="AL335" s="54">
        <v>74657561</v>
      </c>
      <c r="AM335" s="53">
        <v>16</v>
      </c>
      <c r="AN335" s="53">
        <f t="shared" si="47"/>
        <v>772</v>
      </c>
      <c r="AO335" s="53">
        <f t="shared" si="48"/>
        <v>57635637092</v>
      </c>
      <c r="AP335" s="53" t="s">
        <v>4551</v>
      </c>
    </row>
    <row r="336" spans="13:46">
      <c r="M336" s="357" t="s">
        <v>5528</v>
      </c>
      <c r="N336" s="1">
        <v>2143469.938015</v>
      </c>
      <c r="O336" s="370" t="s">
        <v>6038</v>
      </c>
      <c r="P336" s="370">
        <v>1704</v>
      </c>
      <c r="Q336" s="18">
        <v>2104.0605820000001</v>
      </c>
      <c r="R336" s="18">
        <f t="shared" si="41"/>
        <v>3585319.2317280001</v>
      </c>
      <c r="S336" s="395" t="s">
        <v>4975</v>
      </c>
      <c r="AA336" t="s">
        <v>25</v>
      </c>
      <c r="AC336" t="s">
        <v>25</v>
      </c>
      <c r="AJ336" s="11">
        <v>38</v>
      </c>
      <c r="AK336" s="11" t="s">
        <v>4613</v>
      </c>
      <c r="AL336" s="37">
        <v>665000</v>
      </c>
      <c r="AM336" s="11">
        <v>0</v>
      </c>
      <c r="AN336" s="11">
        <f t="shared" si="47"/>
        <v>756</v>
      </c>
      <c r="AO336" s="20">
        <f t="shared" si="48"/>
        <v>502740000</v>
      </c>
      <c r="AP336" s="11"/>
      <c r="AT336" t="s">
        <v>25</v>
      </c>
    </row>
    <row r="337" spans="10:48">
      <c r="M337" s="357" t="s">
        <v>5529</v>
      </c>
      <c r="N337" s="1">
        <v>3085460.5177150001</v>
      </c>
      <c r="O337" s="370" t="s">
        <v>6041</v>
      </c>
      <c r="P337" s="370">
        <v>324</v>
      </c>
      <c r="Q337" s="18">
        <v>2088.5824040000002</v>
      </c>
      <c r="R337" s="18">
        <f t="shared" si="41"/>
        <v>676700.69889600005</v>
      </c>
      <c r="S337" s="395" t="s">
        <v>4975</v>
      </c>
      <c r="AJ337" s="97">
        <v>39</v>
      </c>
      <c r="AK337" s="97" t="s">
        <v>4613</v>
      </c>
      <c r="AL337" s="131">
        <v>665000</v>
      </c>
      <c r="AM337" s="97">
        <v>4</v>
      </c>
      <c r="AN337" s="135">
        <f t="shared" si="47"/>
        <v>756</v>
      </c>
      <c r="AO337" s="135">
        <f t="shared" si="48"/>
        <v>502740000</v>
      </c>
      <c r="AP337" s="135"/>
      <c r="AU337" t="s">
        <v>25</v>
      </c>
    </row>
    <row r="338" spans="10:48">
      <c r="M338" s="357" t="s">
        <v>5530</v>
      </c>
      <c r="N338" s="1">
        <v>8261456.790906</v>
      </c>
      <c r="O338" s="370" t="s">
        <v>6047</v>
      </c>
      <c r="P338" s="370">
        <v>538</v>
      </c>
      <c r="Q338" s="18">
        <v>2055.3485930000002</v>
      </c>
      <c r="R338" s="18">
        <f t="shared" si="41"/>
        <v>1105777.5430340001</v>
      </c>
      <c r="S338" s="395" t="s">
        <v>4975</v>
      </c>
      <c r="AA338" t="s">
        <v>25</v>
      </c>
      <c r="AJ338" s="20">
        <v>40</v>
      </c>
      <c r="AK338" s="20" t="s">
        <v>4622</v>
      </c>
      <c r="AL338" s="37">
        <v>2000000</v>
      </c>
      <c r="AM338" s="20">
        <v>1</v>
      </c>
      <c r="AN338" s="11">
        <f t="shared" si="47"/>
        <v>752</v>
      </c>
      <c r="AO338" s="20">
        <f t="shared" si="48"/>
        <v>1504000000</v>
      </c>
      <c r="AP338" s="11"/>
      <c r="AT338" t="s">
        <v>25</v>
      </c>
      <c r="AV338" t="s">
        <v>25</v>
      </c>
    </row>
    <row r="339" spans="10:48">
      <c r="M339" s="357" t="s">
        <v>5534</v>
      </c>
      <c r="N339" s="1">
        <v>6572373.7593120001</v>
      </c>
      <c r="O339" s="370" t="s">
        <v>6049</v>
      </c>
      <c r="P339" s="370">
        <v>1031</v>
      </c>
      <c r="Q339" s="18">
        <v>2245.620621</v>
      </c>
      <c r="R339" s="18">
        <f t="shared" si="41"/>
        <v>2315234.8602510002</v>
      </c>
      <c r="S339" s="395" t="s">
        <v>4975</v>
      </c>
      <c r="AA339" t="s">
        <v>25</v>
      </c>
      <c r="AJ339" s="20">
        <v>41</v>
      </c>
      <c r="AK339" s="20" t="s">
        <v>4627</v>
      </c>
      <c r="AL339" s="37">
        <v>-2060725</v>
      </c>
      <c r="AM339" s="20">
        <v>0</v>
      </c>
      <c r="AN339" s="11">
        <f t="shared" si="47"/>
        <v>751</v>
      </c>
      <c r="AO339" s="20">
        <f t="shared" ref="AO339:AO344" si="49">AL339*AN339</f>
        <v>-1547604475</v>
      </c>
      <c r="AP339" s="11" t="s">
        <v>4628</v>
      </c>
      <c r="AU339" t="s">
        <v>25</v>
      </c>
    </row>
    <row r="340" spans="10:48">
      <c r="M340" s="357" t="s">
        <v>5535</v>
      </c>
      <c r="N340" s="1">
        <v>2893243.5730909999</v>
      </c>
      <c r="O340" s="370" t="s">
        <v>6050</v>
      </c>
      <c r="P340" s="370">
        <v>1804</v>
      </c>
      <c r="Q340" s="18">
        <v>2292.882846</v>
      </c>
      <c r="R340" s="18">
        <f t="shared" si="41"/>
        <v>4136360.6541840001</v>
      </c>
      <c r="S340" s="395" t="s">
        <v>4975</v>
      </c>
      <c r="AA340" t="s">
        <v>25</v>
      </c>
      <c r="AC340" t="s">
        <v>25</v>
      </c>
      <c r="AJ340" s="97">
        <v>42</v>
      </c>
      <c r="AK340" s="97" t="s">
        <v>4627</v>
      </c>
      <c r="AL340" s="131">
        <v>-433375</v>
      </c>
      <c r="AM340" s="97">
        <v>0</v>
      </c>
      <c r="AN340" s="97">
        <f t="shared" si="47"/>
        <v>751</v>
      </c>
      <c r="AO340" s="97">
        <f t="shared" si="49"/>
        <v>-325464625</v>
      </c>
      <c r="AP340" s="97" t="s">
        <v>4629</v>
      </c>
    </row>
    <row r="341" spans="10:48">
      <c r="M341" s="357" t="s">
        <v>5537</v>
      </c>
      <c r="N341" s="1">
        <v>94992058.939007998</v>
      </c>
      <c r="O341" s="370" t="s">
        <v>6051</v>
      </c>
      <c r="P341" s="370">
        <v>1348</v>
      </c>
      <c r="Q341" s="18">
        <v>2252.0137020000002</v>
      </c>
      <c r="R341" s="18">
        <f t="shared" si="41"/>
        <v>3035714.4702960001</v>
      </c>
      <c r="S341" s="395" t="s">
        <v>4975</v>
      </c>
      <c r="AC341" t="s">
        <v>25</v>
      </c>
      <c r="AJ341" s="20">
        <v>43</v>
      </c>
      <c r="AK341" s="20" t="s">
        <v>4627</v>
      </c>
      <c r="AL341" s="37">
        <v>28000000</v>
      </c>
      <c r="AM341" s="20">
        <v>1</v>
      </c>
      <c r="AN341" s="11">
        <f t="shared" si="47"/>
        <v>751</v>
      </c>
      <c r="AO341" s="20">
        <f t="shared" si="49"/>
        <v>21028000000</v>
      </c>
      <c r="AP341" s="11" t="s">
        <v>3805</v>
      </c>
    </row>
    <row r="342" spans="10:48">
      <c r="J342" t="s">
        <v>25</v>
      </c>
      <c r="M342" s="357" t="s">
        <v>5541</v>
      </c>
      <c r="N342" s="1">
        <v>275021.925965</v>
      </c>
      <c r="O342" s="370" t="s">
        <v>6057</v>
      </c>
      <c r="P342" s="370">
        <v>-76536</v>
      </c>
      <c r="Q342" s="18">
        <v>2350.6086869999999</v>
      </c>
      <c r="R342" s="18">
        <f t="shared" si="41"/>
        <v>-179906186.46823201</v>
      </c>
      <c r="S342" s="395" t="s">
        <v>6058</v>
      </c>
      <c r="AJ342" s="20">
        <v>44</v>
      </c>
      <c r="AK342" s="20" t="s">
        <v>4636</v>
      </c>
      <c r="AL342" s="37">
        <v>160000</v>
      </c>
      <c r="AM342" s="20">
        <v>0</v>
      </c>
      <c r="AN342" s="11">
        <f t="shared" si="47"/>
        <v>750</v>
      </c>
      <c r="AO342" s="20">
        <f t="shared" si="49"/>
        <v>120000000</v>
      </c>
      <c r="AP342" s="11"/>
    </row>
    <row r="343" spans="10:48">
      <c r="M343" s="357" t="s">
        <v>5547</v>
      </c>
      <c r="N343" s="1">
        <v>327451.9203</v>
      </c>
      <c r="O343" s="370" t="s">
        <v>6060</v>
      </c>
      <c r="P343" s="370">
        <v>145</v>
      </c>
      <c r="Q343" s="18">
        <v>2379.7882030000001</v>
      </c>
      <c r="R343" s="18">
        <f t="shared" si="41"/>
        <v>345069.28943499998</v>
      </c>
      <c r="S343" s="395" t="s">
        <v>4975</v>
      </c>
      <c r="AB343" t="s">
        <v>25</v>
      </c>
      <c r="AJ343" s="97">
        <v>45</v>
      </c>
      <c r="AK343" s="97" t="s">
        <v>4636</v>
      </c>
      <c r="AL343" s="131">
        <v>70000</v>
      </c>
      <c r="AM343" s="97">
        <v>9</v>
      </c>
      <c r="AN343" s="97">
        <f t="shared" si="47"/>
        <v>750</v>
      </c>
      <c r="AO343" s="97">
        <f t="shared" si="49"/>
        <v>52500000</v>
      </c>
      <c r="AP343" s="97"/>
    </row>
    <row r="344" spans="10:48">
      <c r="M344" s="357" t="s">
        <v>5554</v>
      </c>
      <c r="N344" s="1">
        <v>260081.94096800001</v>
      </c>
      <c r="O344" s="189" t="s">
        <v>6060</v>
      </c>
      <c r="P344" s="189">
        <v>55</v>
      </c>
      <c r="Q344" s="190">
        <v>2379.7882030000001</v>
      </c>
      <c r="R344" s="190">
        <f t="shared" si="41"/>
        <v>130888.351165</v>
      </c>
      <c r="S344" s="394" t="s">
        <v>6145</v>
      </c>
      <c r="AA344" t="s">
        <v>25</v>
      </c>
      <c r="AJ344" s="20">
        <v>46</v>
      </c>
      <c r="AK344" s="20" t="s">
        <v>4642</v>
      </c>
      <c r="AL344" s="37">
        <v>850000</v>
      </c>
      <c r="AM344" s="20">
        <v>0</v>
      </c>
      <c r="AN344" s="11">
        <f t="shared" si="47"/>
        <v>741</v>
      </c>
      <c r="AO344" s="20">
        <f t="shared" si="49"/>
        <v>629850000</v>
      </c>
      <c r="AP344" s="11"/>
    </row>
    <row r="345" spans="10:48">
      <c r="M345" s="357" t="s">
        <v>5555</v>
      </c>
      <c r="N345" s="1">
        <v>2909284.5308940001</v>
      </c>
      <c r="O345" s="370" t="s">
        <v>6060</v>
      </c>
      <c r="P345" s="370">
        <v>53</v>
      </c>
      <c r="Q345" s="18">
        <v>2379.7882030000001</v>
      </c>
      <c r="R345" s="18">
        <f t="shared" si="41"/>
        <v>126128.77475900001</v>
      </c>
      <c r="S345" s="395" t="s">
        <v>6146</v>
      </c>
      <c r="AJ345" s="135">
        <v>47</v>
      </c>
      <c r="AK345" s="135" t="s">
        <v>4642</v>
      </c>
      <c r="AL345" s="136">
        <v>20000</v>
      </c>
      <c r="AM345" s="135">
        <v>4</v>
      </c>
      <c r="AN345" s="135">
        <f t="shared" ref="AN345:AN353" si="50">AM345+AN346</f>
        <v>741</v>
      </c>
      <c r="AO345" s="135">
        <f t="shared" ref="AO345:AO353" si="51">AL345*AN345</f>
        <v>14820000</v>
      </c>
      <c r="AP345" s="135"/>
    </row>
    <row r="346" spans="10:48">
      <c r="J346" t="s">
        <v>25</v>
      </c>
      <c r="M346" s="357" t="s">
        <v>5556</v>
      </c>
      <c r="N346" s="1">
        <v>37723205.094084002</v>
      </c>
      <c r="O346" s="370" t="s">
        <v>6149</v>
      </c>
      <c r="P346" s="370">
        <v>243</v>
      </c>
      <c r="Q346" s="18">
        <v>2336.5653440000001</v>
      </c>
      <c r="R346" s="18">
        <f t="shared" si="41"/>
        <v>567785.37859199999</v>
      </c>
      <c r="S346" s="395" t="s">
        <v>4975</v>
      </c>
      <c r="AJ346" s="135">
        <v>48</v>
      </c>
      <c r="AK346" s="135" t="s">
        <v>4655</v>
      </c>
      <c r="AL346" s="136">
        <v>30000000</v>
      </c>
      <c r="AM346" s="135">
        <v>27</v>
      </c>
      <c r="AN346" s="135">
        <f t="shared" si="50"/>
        <v>737</v>
      </c>
      <c r="AO346" s="135">
        <f t="shared" si="51"/>
        <v>22110000000</v>
      </c>
      <c r="AP346" s="135" t="s">
        <v>4656</v>
      </c>
    </row>
    <row r="347" spans="10:48">
      <c r="J347" t="s">
        <v>25</v>
      </c>
      <c r="M347" s="357" t="s">
        <v>5557</v>
      </c>
      <c r="N347" s="1">
        <v>1500094.75168</v>
      </c>
      <c r="O347" s="370" t="s">
        <v>6155</v>
      </c>
      <c r="P347" s="370">
        <v>81</v>
      </c>
      <c r="Q347" s="18">
        <v>2341.77675</v>
      </c>
      <c r="R347" s="18">
        <f t="shared" si="41"/>
        <v>189683.91675</v>
      </c>
      <c r="S347" s="395" t="s">
        <v>4975</v>
      </c>
      <c r="AJ347" s="20">
        <v>49</v>
      </c>
      <c r="AK347" s="20" t="s">
        <v>4721</v>
      </c>
      <c r="AL347" s="37">
        <v>1100000</v>
      </c>
      <c r="AM347" s="20">
        <v>1</v>
      </c>
      <c r="AN347" s="20">
        <f t="shared" si="50"/>
        <v>710</v>
      </c>
      <c r="AO347" s="20">
        <f t="shared" si="51"/>
        <v>781000000</v>
      </c>
      <c r="AP347" s="20"/>
    </row>
    <row r="348" spans="10:48">
      <c r="M348" s="357" t="s">
        <v>5559</v>
      </c>
      <c r="N348" s="1">
        <v>7230628.4378079996</v>
      </c>
      <c r="O348" s="189" t="s">
        <v>6156</v>
      </c>
      <c r="P348" s="189">
        <v>21767</v>
      </c>
      <c r="Q348" s="190">
        <v>2297.060872</v>
      </c>
      <c r="R348" s="190">
        <f t="shared" si="41"/>
        <v>50000124.000823997</v>
      </c>
      <c r="S348" s="394" t="s">
        <v>6158</v>
      </c>
      <c r="AA348" t="s">
        <v>25</v>
      </c>
      <c r="AJ348" s="20">
        <v>50</v>
      </c>
      <c r="AK348" s="20" t="s">
        <v>4722</v>
      </c>
      <c r="AL348" s="37">
        <v>450000</v>
      </c>
      <c r="AM348" s="20">
        <v>0</v>
      </c>
      <c r="AN348" s="20">
        <f t="shared" si="50"/>
        <v>709</v>
      </c>
      <c r="AO348" s="20">
        <f t="shared" si="51"/>
        <v>319050000</v>
      </c>
      <c r="AP348" s="20"/>
    </row>
    <row r="349" spans="10:48">
      <c r="M349" s="357" t="s">
        <v>5560</v>
      </c>
      <c r="N349" s="1">
        <v>29767389.390390001</v>
      </c>
      <c r="O349" s="370" t="s">
        <v>6156</v>
      </c>
      <c r="P349" s="370">
        <v>4353</v>
      </c>
      <c r="Q349" s="18">
        <v>2297.060872</v>
      </c>
      <c r="R349" s="18">
        <f t="shared" si="41"/>
        <v>9999105.9758160003</v>
      </c>
      <c r="S349" s="395" t="s">
        <v>6159</v>
      </c>
      <c r="AJ349" s="97">
        <v>51</v>
      </c>
      <c r="AK349" s="97" t="s">
        <v>4722</v>
      </c>
      <c r="AL349" s="131">
        <v>550000</v>
      </c>
      <c r="AM349" s="97">
        <v>1</v>
      </c>
      <c r="AN349" s="97">
        <f t="shared" si="50"/>
        <v>709</v>
      </c>
      <c r="AO349" s="97">
        <f t="shared" si="51"/>
        <v>389950000</v>
      </c>
      <c r="AP349" s="97"/>
    </row>
    <row r="350" spans="10:48">
      <c r="M350" s="357" t="s">
        <v>5562</v>
      </c>
      <c r="N350" s="1">
        <v>151560.25597</v>
      </c>
      <c r="O350" s="370" t="s">
        <v>6156</v>
      </c>
      <c r="P350" s="370">
        <v>226</v>
      </c>
      <c r="Q350" s="18">
        <v>2297.060872</v>
      </c>
      <c r="R350" s="18">
        <f t="shared" si="41"/>
        <v>519135.75707200001</v>
      </c>
      <c r="S350" s="395" t="s">
        <v>4975</v>
      </c>
      <c r="AJ350" s="97">
        <v>52</v>
      </c>
      <c r="AK350" s="97" t="s">
        <v>4724</v>
      </c>
      <c r="AL350" s="131">
        <v>1000000</v>
      </c>
      <c r="AM350" s="97">
        <v>8</v>
      </c>
      <c r="AN350" s="97">
        <f t="shared" si="50"/>
        <v>708</v>
      </c>
      <c r="AO350" s="97">
        <f t="shared" si="51"/>
        <v>708000000</v>
      </c>
      <c r="AP350" s="97"/>
    </row>
    <row r="351" spans="10:48">
      <c r="M351" s="357" t="s">
        <v>5563</v>
      </c>
      <c r="N351" s="1">
        <v>481318.88078800001</v>
      </c>
      <c r="O351" s="370" t="s">
        <v>6162</v>
      </c>
      <c r="P351" s="370">
        <v>1416</v>
      </c>
      <c r="Q351" s="18">
        <v>2405.6595360000001</v>
      </c>
      <c r="R351" s="18">
        <f t="shared" si="41"/>
        <v>3406413.9029760002</v>
      </c>
      <c r="S351" s="395" t="s">
        <v>4975</v>
      </c>
      <c r="AJ351" s="20">
        <v>53</v>
      </c>
      <c r="AK351" s="20" t="s">
        <v>4731</v>
      </c>
      <c r="AL351" s="37">
        <v>-2668880</v>
      </c>
      <c r="AM351" s="20">
        <v>0</v>
      </c>
      <c r="AN351" s="20">
        <f t="shared" si="50"/>
        <v>700</v>
      </c>
      <c r="AO351" s="20">
        <f t="shared" si="51"/>
        <v>-1868216000</v>
      </c>
      <c r="AP351" s="20" t="s">
        <v>4733</v>
      </c>
    </row>
    <row r="352" spans="10:48">
      <c r="M352" s="357" t="s">
        <v>5574</v>
      </c>
      <c r="N352" s="1">
        <v>146277.56820000001</v>
      </c>
      <c r="O352" s="370" t="s">
        <v>6163</v>
      </c>
      <c r="P352" s="370">
        <v>172</v>
      </c>
      <c r="Q352" s="18">
        <v>2529.2810939999999</v>
      </c>
      <c r="R352" s="18">
        <f t="shared" si="41"/>
        <v>435036.348168</v>
      </c>
      <c r="S352" s="395" t="s">
        <v>4975</v>
      </c>
      <c r="AJ352" s="97">
        <v>54</v>
      </c>
      <c r="AK352" s="97" t="s">
        <v>4731</v>
      </c>
      <c r="AL352" s="131">
        <v>-1528620</v>
      </c>
      <c r="AM352" s="97">
        <v>0</v>
      </c>
      <c r="AN352" s="97">
        <f t="shared" si="50"/>
        <v>700</v>
      </c>
      <c r="AO352" s="97">
        <f t="shared" si="51"/>
        <v>-1070034000</v>
      </c>
      <c r="AP352" s="97" t="s">
        <v>4733</v>
      </c>
    </row>
    <row r="353" spans="13:47">
      <c r="M353" s="357" t="s">
        <v>5577</v>
      </c>
      <c r="N353" s="1">
        <v>424693.40162399999</v>
      </c>
      <c r="O353" s="370" t="s">
        <v>6166</v>
      </c>
      <c r="P353" s="370">
        <v>-3909</v>
      </c>
      <c r="Q353" s="18">
        <v>2881.8852230000002</v>
      </c>
      <c r="R353" s="18">
        <f>P353*Q353</f>
        <v>-11265289.336707002</v>
      </c>
      <c r="S353" s="395" t="s">
        <v>6167</v>
      </c>
      <c r="AJ353" s="20">
        <v>55</v>
      </c>
      <c r="AK353" s="20" t="s">
        <v>4731</v>
      </c>
      <c r="AL353" s="37">
        <v>50000000</v>
      </c>
      <c r="AM353" s="20">
        <v>4</v>
      </c>
      <c r="AN353" s="20">
        <f t="shared" si="50"/>
        <v>700</v>
      </c>
      <c r="AO353" s="20">
        <f t="shared" si="51"/>
        <v>35000000000</v>
      </c>
      <c r="AP353" s="20"/>
    </row>
    <row r="354" spans="13:47">
      <c r="M354" s="357" t="s">
        <v>5578</v>
      </c>
      <c r="N354" s="1">
        <v>558320.40202399995</v>
      </c>
      <c r="O354" s="189" t="s">
        <v>6166</v>
      </c>
      <c r="P354" s="189">
        <v>-932</v>
      </c>
      <c r="Q354" s="190">
        <v>2881.8852230000002</v>
      </c>
      <c r="R354" s="190">
        <f t="shared" si="41"/>
        <v>-2685917.0278360001</v>
      </c>
      <c r="S354" s="394" t="s">
        <v>6168</v>
      </c>
      <c r="AJ354" s="20">
        <v>56</v>
      </c>
      <c r="AK354" s="20" t="s">
        <v>4736</v>
      </c>
      <c r="AL354" s="37">
        <v>400000</v>
      </c>
      <c r="AM354" s="20">
        <v>4</v>
      </c>
      <c r="AN354" s="20">
        <f t="shared" ref="AN354:AN363" si="52">AM354+AN355</f>
        <v>696</v>
      </c>
      <c r="AO354" s="20">
        <f t="shared" ref="AO354:AO363" si="53">AL354*AN354</f>
        <v>278400000</v>
      </c>
      <c r="AP354" s="20"/>
    </row>
    <row r="355" spans="13:47">
      <c r="M355" s="357" t="s">
        <v>5600</v>
      </c>
      <c r="N355" s="1">
        <v>207642.22201140001</v>
      </c>
      <c r="O355" s="370" t="s">
        <v>6175</v>
      </c>
      <c r="P355" s="370">
        <v>33</v>
      </c>
      <c r="Q355" s="18">
        <v>2905.0202519999998</v>
      </c>
      <c r="R355" s="18">
        <f t="shared" si="41"/>
        <v>95865.668315999996</v>
      </c>
      <c r="S355" s="395" t="s">
        <v>4316</v>
      </c>
      <c r="AJ355" s="20">
        <v>57</v>
      </c>
      <c r="AK355" s="20" t="s">
        <v>4745</v>
      </c>
      <c r="AL355" s="37">
        <v>2000000</v>
      </c>
      <c r="AM355" s="20">
        <v>3</v>
      </c>
      <c r="AN355" s="20">
        <f t="shared" si="52"/>
        <v>692</v>
      </c>
      <c r="AO355" s="20">
        <f t="shared" si="53"/>
        <v>1384000000</v>
      </c>
      <c r="AP355" s="20"/>
    </row>
    <row r="356" spans="13:47">
      <c r="M356" s="357" t="s">
        <v>5600</v>
      </c>
      <c r="N356" s="1">
        <v>33832510.64875</v>
      </c>
      <c r="O356" s="189" t="s">
        <v>6183</v>
      </c>
      <c r="P356" s="189">
        <v>10421</v>
      </c>
      <c r="Q356" s="190">
        <v>2780.2819920000002</v>
      </c>
      <c r="R356" s="190">
        <f t="shared" si="41"/>
        <v>28973318.638632003</v>
      </c>
      <c r="S356" s="394" t="s">
        <v>6185</v>
      </c>
      <c r="AJ356" s="20">
        <v>58</v>
      </c>
      <c r="AK356" s="20" t="s">
        <v>4748</v>
      </c>
      <c r="AL356" s="37">
        <v>100000</v>
      </c>
      <c r="AM356" s="20">
        <v>4</v>
      </c>
      <c r="AN356" s="20">
        <f t="shared" si="52"/>
        <v>689</v>
      </c>
      <c r="AO356" s="20">
        <f t="shared" si="53"/>
        <v>68900000</v>
      </c>
      <c r="AP356" s="20" t="s">
        <v>3805</v>
      </c>
    </row>
    <row r="357" spans="13:47">
      <c r="M357" s="357" t="s">
        <v>5608</v>
      </c>
      <c r="N357" s="1">
        <v>637977.33504399995</v>
      </c>
      <c r="O357" s="370" t="s">
        <v>6183</v>
      </c>
      <c r="P357" s="370">
        <v>835</v>
      </c>
      <c r="Q357" s="18">
        <v>2780.2819920000002</v>
      </c>
      <c r="R357" s="18">
        <f t="shared" si="41"/>
        <v>2321535.4633200001</v>
      </c>
      <c r="S357" s="395" t="s">
        <v>4975</v>
      </c>
      <c r="AJ357" s="20">
        <v>59</v>
      </c>
      <c r="AK357" s="20" t="s">
        <v>4755</v>
      </c>
      <c r="AL357" s="37">
        <v>100000</v>
      </c>
      <c r="AM357" s="20">
        <v>7</v>
      </c>
      <c r="AN357" s="20">
        <f t="shared" si="52"/>
        <v>685</v>
      </c>
      <c r="AO357" s="20">
        <f t="shared" si="53"/>
        <v>68500000</v>
      </c>
      <c r="AP357" s="20"/>
    </row>
    <row r="358" spans="13:47" ht="18" customHeight="1">
      <c r="M358" s="357" t="s">
        <v>5609</v>
      </c>
      <c r="N358" s="1">
        <v>466552.25632400002</v>
      </c>
      <c r="O358" s="370" t="s">
        <v>6464</v>
      </c>
      <c r="P358" s="370">
        <v>410</v>
      </c>
      <c r="Q358" s="18">
        <v>2678.4068379999999</v>
      </c>
      <c r="R358" s="18">
        <f t="shared" si="41"/>
        <v>1098146.8035800001</v>
      </c>
      <c r="S358" s="395" t="s">
        <v>4975</v>
      </c>
      <c r="AJ358" s="20">
        <v>60</v>
      </c>
      <c r="AK358" s="20" t="s">
        <v>4768</v>
      </c>
      <c r="AL358" s="37">
        <v>50000</v>
      </c>
      <c r="AM358" s="20">
        <v>0</v>
      </c>
      <c r="AN358" s="20">
        <f t="shared" si="52"/>
        <v>678</v>
      </c>
      <c r="AO358" s="20">
        <f t="shared" si="53"/>
        <v>33900000</v>
      </c>
      <c r="AP358" s="20"/>
      <c r="AU358" t="s">
        <v>25</v>
      </c>
    </row>
    <row r="359" spans="13:47" ht="21" customHeight="1">
      <c r="M359" s="357" t="s">
        <v>5610</v>
      </c>
      <c r="N359" s="1">
        <v>149316.98805000001</v>
      </c>
      <c r="O359" s="370" t="s">
        <v>6467</v>
      </c>
      <c r="P359" s="370">
        <v>201</v>
      </c>
      <c r="Q359" s="18">
        <v>2688.6794049999999</v>
      </c>
      <c r="R359" s="18">
        <f t="shared" si="41"/>
        <v>540424.560405</v>
      </c>
      <c r="S359" s="395" t="s">
        <v>4975</v>
      </c>
      <c r="AJ359" s="97">
        <v>61</v>
      </c>
      <c r="AK359" s="97" t="s">
        <v>4768</v>
      </c>
      <c r="AL359" s="131">
        <v>50000</v>
      </c>
      <c r="AM359" s="97">
        <v>3</v>
      </c>
      <c r="AN359" s="97">
        <f t="shared" si="52"/>
        <v>678</v>
      </c>
      <c r="AO359" s="97">
        <f t="shared" si="53"/>
        <v>33900000</v>
      </c>
      <c r="AP359" s="97"/>
    </row>
    <row r="360" spans="13:47">
      <c r="M360" s="357" t="s">
        <v>5610</v>
      </c>
      <c r="N360" s="1">
        <v>189134.85153000001</v>
      </c>
      <c r="O360" s="370" t="s">
        <v>6468</v>
      </c>
      <c r="P360" s="370">
        <v>1133</v>
      </c>
      <c r="Q360" s="18">
        <v>2455.1740869999999</v>
      </c>
      <c r="R360" s="18">
        <f t="shared" si="41"/>
        <v>2781712.2405709997</v>
      </c>
      <c r="S360" s="395" t="s">
        <v>4975</v>
      </c>
      <c r="AB360" t="s">
        <v>25</v>
      </c>
      <c r="AJ360" s="20">
        <v>62</v>
      </c>
      <c r="AK360" s="20" t="s">
        <v>4771</v>
      </c>
      <c r="AL360" s="37">
        <v>50000</v>
      </c>
      <c r="AM360" s="20">
        <v>0</v>
      </c>
      <c r="AN360" s="20">
        <f t="shared" si="52"/>
        <v>675</v>
      </c>
      <c r="AO360" s="20">
        <f t="shared" si="53"/>
        <v>33750000</v>
      </c>
      <c r="AP360" s="20"/>
    </row>
    <row r="361" spans="13:47">
      <c r="M361" s="357" t="s">
        <v>5612</v>
      </c>
      <c r="N361" s="1">
        <v>564888.82799599995</v>
      </c>
      <c r="O361" s="370" t="s">
        <v>6471</v>
      </c>
      <c r="P361" s="370">
        <v>59</v>
      </c>
      <c r="Q361" s="18">
        <v>2706.4553110000002</v>
      </c>
      <c r="R361" s="18">
        <f t="shared" si="41"/>
        <v>159680.86334900002</v>
      </c>
      <c r="S361" s="395" t="s">
        <v>6472</v>
      </c>
      <c r="AJ361" s="135">
        <v>63</v>
      </c>
      <c r="AK361" s="135" t="s">
        <v>4771</v>
      </c>
      <c r="AL361" s="136">
        <v>50000</v>
      </c>
      <c r="AM361" s="135">
        <v>2</v>
      </c>
      <c r="AN361" s="135">
        <f t="shared" si="52"/>
        <v>675</v>
      </c>
      <c r="AO361" s="135">
        <f t="shared" si="53"/>
        <v>33750000</v>
      </c>
      <c r="AP361" s="135"/>
    </row>
    <row r="362" spans="13:47" ht="18.75" customHeight="1">
      <c r="M362" s="357" t="s">
        <v>5615</v>
      </c>
      <c r="N362" s="1">
        <v>8762299.2047910001</v>
      </c>
      <c r="O362" s="370" t="s">
        <v>6491</v>
      </c>
      <c r="P362" s="370">
        <v>4795</v>
      </c>
      <c r="Q362" s="18">
        <v>2908.4025580000002</v>
      </c>
      <c r="R362" s="18">
        <f t="shared" si="41"/>
        <v>13945790.265610002</v>
      </c>
      <c r="S362" s="395" t="s">
        <v>5215</v>
      </c>
      <c r="AA362" t="s">
        <v>25</v>
      </c>
      <c r="AJ362" s="20">
        <v>64</v>
      </c>
      <c r="AK362" s="20" t="s">
        <v>4778</v>
      </c>
      <c r="AL362" s="37">
        <v>25000</v>
      </c>
      <c r="AM362" s="20">
        <v>0</v>
      </c>
      <c r="AN362" s="20">
        <f t="shared" si="52"/>
        <v>673</v>
      </c>
      <c r="AO362" s="20">
        <f t="shared" si="53"/>
        <v>16825000</v>
      </c>
      <c r="AP362" s="20"/>
    </row>
    <row r="363" spans="13:47">
      <c r="M363" s="357" t="s">
        <v>5615</v>
      </c>
      <c r="N363" s="1">
        <v>-341847876.93843603</v>
      </c>
      <c r="O363" s="370" t="s">
        <v>6493</v>
      </c>
      <c r="P363" s="370">
        <v>164</v>
      </c>
      <c r="Q363" s="18">
        <v>2792.1636870000002</v>
      </c>
      <c r="R363" s="18">
        <f t="shared" si="41"/>
        <v>457914.84466800001</v>
      </c>
      <c r="S363" s="395" t="s">
        <v>5215</v>
      </c>
      <c r="AB363" t="s">
        <v>25</v>
      </c>
      <c r="AJ363" s="97">
        <v>65</v>
      </c>
      <c r="AK363" s="97" t="s">
        <v>4778</v>
      </c>
      <c r="AL363" s="131">
        <v>35000</v>
      </c>
      <c r="AM363" s="97">
        <v>7</v>
      </c>
      <c r="AN363" s="97">
        <f t="shared" si="52"/>
        <v>673</v>
      </c>
      <c r="AO363" s="97">
        <f t="shared" si="53"/>
        <v>23555000</v>
      </c>
      <c r="AP363" s="97"/>
    </row>
    <row r="364" spans="13:47">
      <c r="M364" s="357" t="s">
        <v>5637</v>
      </c>
      <c r="N364" s="1">
        <v>259993.58394100002</v>
      </c>
      <c r="O364" s="370" t="s">
        <v>6494</v>
      </c>
      <c r="P364" s="370">
        <v>352</v>
      </c>
      <c r="Q364" s="18">
        <v>2768.6657369999998</v>
      </c>
      <c r="R364" s="18">
        <f t="shared" si="41"/>
        <v>974570.33942399989</v>
      </c>
      <c r="S364" s="395" t="s">
        <v>5215</v>
      </c>
      <c r="AJ364" s="97">
        <v>66</v>
      </c>
      <c r="AK364" s="97" t="s">
        <v>4786</v>
      </c>
      <c r="AL364" s="131">
        <v>30000000</v>
      </c>
      <c r="AM364" s="97">
        <v>0</v>
      </c>
      <c r="AN364" s="97">
        <f t="shared" ref="AN364:AN383" si="54">AM364+AN365</f>
        <v>666</v>
      </c>
      <c r="AO364" s="97">
        <f t="shared" ref="AO364:AO383" si="55">AL364*AN364</f>
        <v>19980000000</v>
      </c>
      <c r="AP364" s="97"/>
    </row>
    <row r="365" spans="13:47">
      <c r="M365" s="357" t="s">
        <v>5638</v>
      </c>
      <c r="N365" s="1">
        <v>269955.31205999997</v>
      </c>
      <c r="O365" s="370" t="s">
        <v>6495</v>
      </c>
      <c r="P365" s="370">
        <v>283</v>
      </c>
      <c r="Q365" s="18">
        <v>2636.7439079999999</v>
      </c>
      <c r="R365" s="18">
        <f t="shared" si="41"/>
        <v>746198.52596400003</v>
      </c>
      <c r="S365" s="395" t="s">
        <v>5215</v>
      </c>
      <c r="AJ365" s="20">
        <v>67</v>
      </c>
      <c r="AK365" s="20" t="s">
        <v>4786</v>
      </c>
      <c r="AL365" s="37">
        <v>6800000</v>
      </c>
      <c r="AM365" s="20">
        <v>1</v>
      </c>
      <c r="AN365" s="20">
        <f t="shared" si="54"/>
        <v>666</v>
      </c>
      <c r="AO365" s="20">
        <f t="shared" si="55"/>
        <v>4528800000</v>
      </c>
      <c r="AP365" s="20"/>
    </row>
    <row r="366" spans="13:47">
      <c r="M366" s="357" t="s">
        <v>5990</v>
      </c>
      <c r="N366" s="1">
        <v>560534.38387200003</v>
      </c>
      <c r="O366" s="370" t="s">
        <v>6497</v>
      </c>
      <c r="P366" s="370">
        <v>154</v>
      </c>
      <c r="Q366" s="18">
        <v>2702</v>
      </c>
      <c r="R366" s="18">
        <f t="shared" si="41"/>
        <v>416108</v>
      </c>
      <c r="S366" s="395" t="s">
        <v>5215</v>
      </c>
      <c r="AA366" t="s">
        <v>25</v>
      </c>
      <c r="AJ366" s="20">
        <v>68</v>
      </c>
      <c r="AK366" s="20" t="s">
        <v>4789</v>
      </c>
      <c r="AL366" s="37">
        <v>500000</v>
      </c>
      <c r="AM366" s="20">
        <v>1</v>
      </c>
      <c r="AN366" s="20">
        <f t="shared" si="54"/>
        <v>665</v>
      </c>
      <c r="AO366" s="20">
        <f t="shared" si="55"/>
        <v>332500000</v>
      </c>
      <c r="AP366" s="20"/>
    </row>
    <row r="367" spans="13:47">
      <c r="M367" s="357" t="s">
        <v>5992</v>
      </c>
      <c r="N367" s="1">
        <v>581484.96802499995</v>
      </c>
      <c r="O367" s="370" t="s">
        <v>6508</v>
      </c>
      <c r="P367" s="370">
        <v>135</v>
      </c>
      <c r="Q367" s="18">
        <v>2678.6709300000002</v>
      </c>
      <c r="R367" s="18">
        <f t="shared" si="41"/>
        <v>361620.57555000001</v>
      </c>
      <c r="S367" s="395" t="s">
        <v>5215</v>
      </c>
      <c r="AA367" t="s">
        <v>25</v>
      </c>
      <c r="AJ367" s="20">
        <v>69</v>
      </c>
      <c r="AK367" s="20" t="s">
        <v>4793</v>
      </c>
      <c r="AL367" s="37">
        <v>850000</v>
      </c>
      <c r="AM367" s="20">
        <v>5</v>
      </c>
      <c r="AN367" s="20">
        <f t="shared" si="54"/>
        <v>664</v>
      </c>
      <c r="AO367" s="20">
        <f t="shared" si="55"/>
        <v>564400000</v>
      </c>
      <c r="AP367" s="20"/>
    </row>
    <row r="368" spans="13:47">
      <c r="M368" s="357" t="s">
        <v>5994</v>
      </c>
      <c r="N368" s="1">
        <v>2136964.3409779998</v>
      </c>
      <c r="O368" s="370" t="s">
        <v>6509</v>
      </c>
      <c r="P368" s="370">
        <v>291</v>
      </c>
      <c r="Q368" s="18">
        <v>2616.1873500000002</v>
      </c>
      <c r="R368" s="18">
        <f t="shared" si="41"/>
        <v>761310.51884999999</v>
      </c>
      <c r="S368" s="395" t="s">
        <v>5215</v>
      </c>
      <c r="AD368" t="s">
        <v>25</v>
      </c>
      <c r="AJ368" s="20">
        <v>70</v>
      </c>
      <c r="AK368" s="20" t="s">
        <v>4799</v>
      </c>
      <c r="AL368" s="37">
        <v>1130250</v>
      </c>
      <c r="AM368" s="20">
        <v>0</v>
      </c>
      <c r="AN368" s="20">
        <f t="shared" si="54"/>
        <v>659</v>
      </c>
      <c r="AO368" s="20">
        <f t="shared" si="55"/>
        <v>744834750</v>
      </c>
      <c r="AP368" s="20"/>
    </row>
    <row r="369" spans="13:47">
      <c r="M369" s="357" t="s">
        <v>5997</v>
      </c>
      <c r="N369" s="1">
        <v>593783.22629999998</v>
      </c>
      <c r="O369" s="370" t="s">
        <v>6510</v>
      </c>
      <c r="P369" s="370">
        <v>1194</v>
      </c>
      <c r="Q369" s="18">
        <v>2552.0103049999998</v>
      </c>
      <c r="R369" s="18">
        <f t="shared" si="41"/>
        <v>3047100.3041699999</v>
      </c>
      <c r="S369" s="395" t="s">
        <v>5215</v>
      </c>
      <c r="AJ369" s="172">
        <v>71</v>
      </c>
      <c r="AK369" s="172" t="s">
        <v>4799</v>
      </c>
      <c r="AL369" s="166">
        <v>30000</v>
      </c>
      <c r="AM369" s="172">
        <v>5</v>
      </c>
      <c r="AN369" s="172">
        <f t="shared" si="54"/>
        <v>659</v>
      </c>
      <c r="AO369" s="172">
        <f t="shared" si="55"/>
        <v>19770000</v>
      </c>
      <c r="AP369" s="172"/>
    </row>
    <row r="370" spans="13:47">
      <c r="M370" s="357" t="s">
        <v>6001</v>
      </c>
      <c r="N370" s="1">
        <v>469469.96222000004</v>
      </c>
      <c r="O370" s="370" t="s">
        <v>6512</v>
      </c>
      <c r="P370" s="370">
        <v>928</v>
      </c>
      <c r="Q370" s="18">
        <v>2626.1621239999999</v>
      </c>
      <c r="R370" s="18">
        <f t="shared" si="41"/>
        <v>2437078.451072</v>
      </c>
      <c r="S370" s="395" t="s">
        <v>5215</v>
      </c>
      <c r="AA370" t="s">
        <v>25</v>
      </c>
      <c r="AJ370" s="20">
        <v>72</v>
      </c>
      <c r="AK370" s="20" t="s">
        <v>4805</v>
      </c>
      <c r="AL370" s="37">
        <v>206000</v>
      </c>
      <c r="AM370" s="20">
        <v>0</v>
      </c>
      <c r="AN370" s="20">
        <f t="shared" si="54"/>
        <v>654</v>
      </c>
      <c r="AO370" s="20">
        <f t="shared" si="55"/>
        <v>134724000</v>
      </c>
      <c r="AP370" s="20"/>
    </row>
    <row r="371" spans="13:47">
      <c r="M371" s="357" t="s">
        <v>6031</v>
      </c>
      <c r="N371" s="1">
        <v>73977944.489465997</v>
      </c>
      <c r="O371" s="189" t="s">
        <v>6566</v>
      </c>
      <c r="P371" s="189">
        <v>-15181</v>
      </c>
      <c r="Q371" s="190">
        <v>2675.3319820000002</v>
      </c>
      <c r="R371" s="190">
        <f t="shared" si="41"/>
        <v>-40614214.818742</v>
      </c>
      <c r="S371" s="394" t="s">
        <v>6567</v>
      </c>
      <c r="AJ371" s="97">
        <v>73</v>
      </c>
      <c r="AK371" s="97" t="s">
        <v>4805</v>
      </c>
      <c r="AL371" s="131">
        <v>206000</v>
      </c>
      <c r="AM371" s="97">
        <v>2</v>
      </c>
      <c r="AN371" s="97">
        <f t="shared" si="54"/>
        <v>654</v>
      </c>
      <c r="AO371" s="97">
        <f t="shared" si="55"/>
        <v>134724000</v>
      </c>
      <c r="AP371" s="97"/>
    </row>
    <row r="372" spans="13:47">
      <c r="M372" s="357" t="s">
        <v>6035</v>
      </c>
      <c r="N372" s="1">
        <v>570166.40976800001</v>
      </c>
      <c r="O372" s="370" t="s">
        <v>6586</v>
      </c>
      <c r="P372" s="370">
        <v>3122</v>
      </c>
      <c r="Q372" s="18">
        <v>2481.626972</v>
      </c>
      <c r="R372" s="18">
        <f t="shared" si="41"/>
        <v>7747639.4065840002</v>
      </c>
      <c r="S372" s="395" t="s">
        <v>5215</v>
      </c>
      <c r="AJ372" s="20">
        <v>74</v>
      </c>
      <c r="AK372" s="20" t="s">
        <v>4812</v>
      </c>
      <c r="AL372" s="37">
        <v>50000</v>
      </c>
      <c r="AM372" s="20">
        <v>0</v>
      </c>
      <c r="AN372" s="20">
        <f t="shared" si="54"/>
        <v>652</v>
      </c>
      <c r="AO372" s="20">
        <f t="shared" si="55"/>
        <v>32600000</v>
      </c>
      <c r="AP372" s="20"/>
      <c r="AT372" t="s">
        <v>25</v>
      </c>
    </row>
    <row r="373" spans="13:47">
      <c r="M373" s="357" t="s">
        <v>6038</v>
      </c>
      <c r="N373" s="1">
        <v>3585319.2317280001</v>
      </c>
      <c r="O373" s="370" t="s">
        <v>6587</v>
      </c>
      <c r="P373" s="370">
        <v>2209</v>
      </c>
      <c r="Q373" s="18">
        <v>2528.2563839999998</v>
      </c>
      <c r="R373" s="18">
        <f t="shared" si="41"/>
        <v>5584918.3522559991</v>
      </c>
      <c r="S373" s="395" t="s">
        <v>5215</v>
      </c>
      <c r="AJ373" s="172">
        <v>75</v>
      </c>
      <c r="AK373" s="172" t="s">
        <v>4812</v>
      </c>
      <c r="AL373" s="166">
        <v>50000</v>
      </c>
      <c r="AM373" s="172">
        <v>2</v>
      </c>
      <c r="AN373" s="172">
        <f t="shared" si="54"/>
        <v>652</v>
      </c>
      <c r="AO373" s="172">
        <f t="shared" si="55"/>
        <v>32600000</v>
      </c>
      <c r="AP373" s="172"/>
    </row>
    <row r="374" spans="13:47">
      <c r="M374" s="357" t="s">
        <v>6041</v>
      </c>
      <c r="N374" s="1">
        <v>676700.69889600005</v>
      </c>
      <c r="O374" s="189" t="s">
        <v>6588</v>
      </c>
      <c r="P374" s="189">
        <v>2977</v>
      </c>
      <c r="Q374" s="190">
        <v>2451.5674020000001</v>
      </c>
      <c r="R374" s="190">
        <f t="shared" si="41"/>
        <v>7298316.1557539999</v>
      </c>
      <c r="S374" s="394" t="s">
        <v>1005</v>
      </c>
      <c r="AA374" t="s">
        <v>25</v>
      </c>
      <c r="AJ374" s="20">
        <v>76</v>
      </c>
      <c r="AK374" s="20" t="s">
        <v>4816</v>
      </c>
      <c r="AL374" s="37">
        <v>20000000</v>
      </c>
      <c r="AM374" s="20">
        <v>7</v>
      </c>
      <c r="AN374" s="20">
        <f t="shared" si="54"/>
        <v>650</v>
      </c>
      <c r="AO374" s="20">
        <f t="shared" si="55"/>
        <v>13000000000</v>
      </c>
      <c r="AP374" s="20" t="s">
        <v>4817</v>
      </c>
      <c r="AU374" t="s">
        <v>25</v>
      </c>
    </row>
    <row r="375" spans="13:47">
      <c r="M375" s="357" t="s">
        <v>6047</v>
      </c>
      <c r="N375" s="1">
        <v>1105777.5430340001</v>
      </c>
      <c r="O375" s="370" t="s">
        <v>6588</v>
      </c>
      <c r="P375" s="370">
        <v>2857</v>
      </c>
      <c r="Q375" s="18">
        <v>2451.5674020000001</v>
      </c>
      <c r="R375" s="18">
        <f t="shared" si="41"/>
        <v>7004128.0675140005</v>
      </c>
      <c r="S375" s="395" t="s">
        <v>690</v>
      </c>
      <c r="AA375" t="s">
        <v>25</v>
      </c>
      <c r="AJ375" s="20">
        <v>77</v>
      </c>
      <c r="AK375" s="20" t="s">
        <v>4827</v>
      </c>
      <c r="AL375" s="37">
        <v>50000</v>
      </c>
      <c r="AM375" s="20">
        <v>0</v>
      </c>
      <c r="AN375" s="20">
        <f t="shared" si="54"/>
        <v>643</v>
      </c>
      <c r="AO375" s="20">
        <f t="shared" si="55"/>
        <v>32150000</v>
      </c>
      <c r="AP375" s="20"/>
    </row>
    <row r="376" spans="13:47">
      <c r="M376" s="357" t="s">
        <v>6049</v>
      </c>
      <c r="N376" s="1">
        <v>2315234.8602510002</v>
      </c>
      <c r="O376" s="370" t="s">
        <v>6588</v>
      </c>
      <c r="P376" s="370">
        <v>234</v>
      </c>
      <c r="Q376" s="18">
        <v>2451.5674020000001</v>
      </c>
      <c r="R376" s="18">
        <f t="shared" si="41"/>
        <v>573666.77206800005</v>
      </c>
      <c r="S376" s="395" t="s">
        <v>4975</v>
      </c>
      <c r="AJ376" s="97">
        <v>78</v>
      </c>
      <c r="AK376" s="97" t="s">
        <v>4827</v>
      </c>
      <c r="AL376" s="131">
        <v>50000</v>
      </c>
      <c r="AM376" s="97">
        <v>7</v>
      </c>
      <c r="AN376" s="97">
        <f t="shared" si="54"/>
        <v>643</v>
      </c>
      <c r="AO376" s="97">
        <f t="shared" si="55"/>
        <v>32150000</v>
      </c>
      <c r="AP376" s="97"/>
    </row>
    <row r="377" spans="13:47">
      <c r="M377" s="357" t="s">
        <v>6050</v>
      </c>
      <c r="N377" s="1">
        <v>4136360.6541840001</v>
      </c>
      <c r="O377" s="370" t="s">
        <v>6591</v>
      </c>
      <c r="P377" s="370">
        <v>751</v>
      </c>
      <c r="Q377" s="18">
        <v>2490.0381539999998</v>
      </c>
      <c r="R377" s="18">
        <f t="shared" si="41"/>
        <v>1870018.6536539998</v>
      </c>
      <c r="S377" s="395" t="s">
        <v>4975</v>
      </c>
      <c r="AA377" t="s">
        <v>25</v>
      </c>
      <c r="AJ377" s="20">
        <v>79</v>
      </c>
      <c r="AK377" s="20" t="s">
        <v>4833</v>
      </c>
      <c r="AL377" s="37">
        <v>2480000</v>
      </c>
      <c r="AM377" s="20">
        <v>0</v>
      </c>
      <c r="AN377" s="20">
        <f t="shared" si="54"/>
        <v>636</v>
      </c>
      <c r="AO377" s="20">
        <f t="shared" si="55"/>
        <v>1577280000</v>
      </c>
      <c r="AP377" s="20"/>
      <c r="AT377" t="s">
        <v>25</v>
      </c>
    </row>
    <row r="378" spans="13:47">
      <c r="M378" s="357" t="s">
        <v>6051</v>
      </c>
      <c r="N378" s="1">
        <v>3035714.4702960001</v>
      </c>
      <c r="O378" s="370" t="s">
        <v>6595</v>
      </c>
      <c r="P378" s="370">
        <v>44</v>
      </c>
      <c r="Q378" s="18">
        <v>2664.1462569999999</v>
      </c>
      <c r="R378" s="18">
        <f t="shared" si="41"/>
        <v>117222.435308</v>
      </c>
      <c r="S378" s="395" t="s">
        <v>4975</v>
      </c>
      <c r="AJ378" s="97">
        <v>80</v>
      </c>
      <c r="AK378" s="97" t="s">
        <v>4833</v>
      </c>
      <c r="AL378" s="131">
        <v>2480000</v>
      </c>
      <c r="AM378" s="97">
        <v>12</v>
      </c>
      <c r="AN378" s="97">
        <f t="shared" si="54"/>
        <v>636</v>
      </c>
      <c r="AO378" s="97">
        <f t="shared" si="55"/>
        <v>1577280000</v>
      </c>
      <c r="AP378" s="97"/>
    </row>
    <row r="379" spans="13:47">
      <c r="M379" s="357" t="s">
        <v>6057</v>
      </c>
      <c r="N379" s="1">
        <v>-179906186.46823201</v>
      </c>
      <c r="O379" s="370" t="s">
        <v>6596</v>
      </c>
      <c r="P379" s="370">
        <v>717</v>
      </c>
      <c r="Q379" s="18">
        <v>2706.9144700000002</v>
      </c>
      <c r="R379" s="18">
        <f t="shared" si="41"/>
        <v>1940857.6749900002</v>
      </c>
      <c r="S379" s="395" t="s">
        <v>4975</v>
      </c>
      <c r="AB379" t="s">
        <v>25</v>
      </c>
      <c r="AJ379" s="20">
        <v>81</v>
      </c>
      <c r="AK379" s="20" t="s">
        <v>4840</v>
      </c>
      <c r="AL379" s="37">
        <v>-24159500</v>
      </c>
      <c r="AM379" s="20">
        <v>4</v>
      </c>
      <c r="AN379" s="20">
        <f t="shared" si="54"/>
        <v>624</v>
      </c>
      <c r="AO379" s="20">
        <f t="shared" si="55"/>
        <v>-15075528000</v>
      </c>
      <c r="AP379" s="20" t="s">
        <v>4848</v>
      </c>
    </row>
    <row r="380" spans="13:47">
      <c r="M380" s="357" t="s">
        <v>6060</v>
      </c>
      <c r="N380" s="1">
        <v>345069.28943499998</v>
      </c>
      <c r="O380" s="370" t="s">
        <v>6609</v>
      </c>
      <c r="P380" s="370">
        <v>86686</v>
      </c>
      <c r="Q380" s="18">
        <v>2307.1718759999999</v>
      </c>
      <c r="R380" s="18">
        <f t="shared" si="41"/>
        <v>199999501.24293599</v>
      </c>
      <c r="S380" s="370" t="s">
        <v>6612</v>
      </c>
      <c r="AJ380" s="20">
        <v>82</v>
      </c>
      <c r="AK380" s="20" t="s">
        <v>4850</v>
      </c>
      <c r="AL380" s="37">
        <v>400000</v>
      </c>
      <c r="AM380" s="20">
        <v>3</v>
      </c>
      <c r="AN380" s="20">
        <f t="shared" si="54"/>
        <v>620</v>
      </c>
      <c r="AO380" s="20">
        <f t="shared" si="55"/>
        <v>248000000</v>
      </c>
      <c r="AP380" s="20"/>
    </row>
    <row r="381" spans="13:47">
      <c r="M381" s="357" t="s">
        <v>6149</v>
      </c>
      <c r="N381" s="1">
        <v>567785.37859199999</v>
      </c>
      <c r="O381" s="370" t="s">
        <v>6615</v>
      </c>
      <c r="P381" s="370">
        <v>81</v>
      </c>
      <c r="Q381" s="18">
        <v>2411.414808</v>
      </c>
      <c r="R381" s="18">
        <f t="shared" si="41"/>
        <v>195324.59944799999</v>
      </c>
      <c r="S381" s="395" t="s">
        <v>4975</v>
      </c>
      <c r="AA381" t="s">
        <v>25</v>
      </c>
      <c r="AJ381" s="97">
        <v>83</v>
      </c>
      <c r="AK381" s="97" t="s">
        <v>4857</v>
      </c>
      <c r="AL381" s="131">
        <v>40000</v>
      </c>
      <c r="AM381" s="97">
        <v>0</v>
      </c>
      <c r="AN381" s="97">
        <f t="shared" si="54"/>
        <v>617</v>
      </c>
      <c r="AO381" s="97">
        <f t="shared" si="55"/>
        <v>24680000</v>
      </c>
      <c r="AP381" s="97"/>
      <c r="AR381" t="s">
        <v>25</v>
      </c>
    </row>
    <row r="382" spans="13:47">
      <c r="M382" s="357" t="s">
        <v>6155</v>
      </c>
      <c r="N382" s="1">
        <v>189683.91675</v>
      </c>
      <c r="O382" s="370" t="s">
        <v>6615</v>
      </c>
      <c r="P382" s="370">
        <v>8426</v>
      </c>
      <c r="Q382" s="18">
        <v>2411.414808</v>
      </c>
      <c r="R382" s="18">
        <f t="shared" si="41"/>
        <v>20318581.172208</v>
      </c>
      <c r="S382" s="370" t="s">
        <v>6616</v>
      </c>
      <c r="AJ382" s="20">
        <v>84</v>
      </c>
      <c r="AK382" s="20" t="s">
        <v>4857</v>
      </c>
      <c r="AL382" s="37">
        <v>40000</v>
      </c>
      <c r="AM382" s="20">
        <v>5</v>
      </c>
      <c r="AN382" s="20">
        <f t="shared" si="54"/>
        <v>617</v>
      </c>
      <c r="AO382" s="20">
        <f t="shared" si="55"/>
        <v>24680000</v>
      </c>
      <c r="AP382" s="20"/>
    </row>
    <row r="383" spans="13:47">
      <c r="M383" s="357" t="s">
        <v>6156</v>
      </c>
      <c r="N383" s="1">
        <v>10000000</v>
      </c>
      <c r="O383" s="370" t="s">
        <v>6617</v>
      </c>
      <c r="P383" s="370">
        <v>1242</v>
      </c>
      <c r="Q383" s="18">
        <v>2330.0938919999999</v>
      </c>
      <c r="R383" s="18">
        <f t="shared" si="41"/>
        <v>2893976.613864</v>
      </c>
      <c r="S383" s="395" t="s">
        <v>4975</v>
      </c>
      <c r="AC383" t="s">
        <v>25</v>
      </c>
      <c r="AJ383" s="20">
        <v>85</v>
      </c>
      <c r="AK383" s="20" t="s">
        <v>4865</v>
      </c>
      <c r="AL383" s="37">
        <v>200000</v>
      </c>
      <c r="AM383" s="20">
        <v>1</v>
      </c>
      <c r="AN383" s="20">
        <f t="shared" si="54"/>
        <v>612</v>
      </c>
      <c r="AO383" s="20">
        <f t="shared" si="55"/>
        <v>122400000</v>
      </c>
      <c r="AP383" s="20"/>
    </row>
    <row r="384" spans="13:47">
      <c r="M384" s="357" t="s">
        <v>6156</v>
      </c>
      <c r="N384" s="1">
        <v>519135.75707200001</v>
      </c>
      <c r="O384" s="370" t="s">
        <v>6618</v>
      </c>
      <c r="P384" s="370">
        <v>149</v>
      </c>
      <c r="Q384" s="18">
        <v>2336.750747</v>
      </c>
      <c r="R384" s="18">
        <f t="shared" si="41"/>
        <v>348175.86130300001</v>
      </c>
      <c r="S384" s="395" t="s">
        <v>4975</v>
      </c>
      <c r="AJ384" s="20">
        <v>86</v>
      </c>
      <c r="AK384" s="20" t="s">
        <v>4869</v>
      </c>
      <c r="AL384" s="37">
        <v>500000</v>
      </c>
      <c r="AM384" s="20">
        <v>2</v>
      </c>
      <c r="AN384" s="20">
        <f t="shared" ref="AN384:AN413" si="56">AM384+AN385</f>
        <v>611</v>
      </c>
      <c r="AO384" s="20">
        <f t="shared" ref="AO384:AO413" si="57">AL384*AN384</f>
        <v>305500000</v>
      </c>
      <c r="AP384" s="20"/>
    </row>
    <row r="385" spans="13:47">
      <c r="M385" s="357" t="s">
        <v>6162</v>
      </c>
      <c r="N385" s="1">
        <v>3406413.9029760002</v>
      </c>
      <c r="O385" s="370" t="s">
        <v>6620</v>
      </c>
      <c r="P385" s="370">
        <v>125</v>
      </c>
      <c r="Q385" s="18">
        <v>2522.243884</v>
      </c>
      <c r="R385" s="18">
        <f t="shared" si="41"/>
        <v>315280.48550000001</v>
      </c>
      <c r="S385" s="395" t="s">
        <v>4975</v>
      </c>
      <c r="AJ385" s="20">
        <v>87</v>
      </c>
      <c r="AK385" s="20" t="s">
        <v>4870</v>
      </c>
      <c r="AL385" s="37">
        <v>500000</v>
      </c>
      <c r="AM385" s="20">
        <v>3</v>
      </c>
      <c r="AN385" s="20">
        <f t="shared" si="56"/>
        <v>609</v>
      </c>
      <c r="AO385" s="20">
        <f t="shared" si="57"/>
        <v>304500000</v>
      </c>
      <c r="AP385" s="20"/>
    </row>
    <row r="386" spans="13:47">
      <c r="M386" s="357" t="s">
        <v>6163</v>
      </c>
      <c r="N386" s="1">
        <v>435036.348168</v>
      </c>
      <c r="O386" s="370" t="s">
        <v>6620</v>
      </c>
      <c r="P386" s="370">
        <v>2429</v>
      </c>
      <c r="Q386" s="18">
        <v>2522.243884</v>
      </c>
      <c r="R386" s="18">
        <f t="shared" si="41"/>
        <v>6126530.3942360003</v>
      </c>
      <c r="S386" s="395" t="s">
        <v>6621</v>
      </c>
      <c r="AJ386" s="20">
        <v>88</v>
      </c>
      <c r="AK386" s="20" t="s">
        <v>4862</v>
      </c>
      <c r="AL386" s="37">
        <v>250000</v>
      </c>
      <c r="AM386" s="20">
        <v>0</v>
      </c>
      <c r="AN386" s="20">
        <f t="shared" si="56"/>
        <v>606</v>
      </c>
      <c r="AO386" s="20">
        <f t="shared" si="57"/>
        <v>151500000</v>
      </c>
      <c r="AP386" s="20"/>
      <c r="AS386" t="s">
        <v>25</v>
      </c>
    </row>
    <row r="387" spans="13:47">
      <c r="M387" s="357" t="s">
        <v>6183</v>
      </c>
      <c r="N387" s="1">
        <v>2321535.4633200001</v>
      </c>
      <c r="O387" s="370" t="s">
        <v>6620</v>
      </c>
      <c r="P387" s="370">
        <v>-2429</v>
      </c>
      <c r="Q387" s="18">
        <v>2522.243884</v>
      </c>
      <c r="R387" s="18">
        <f t="shared" si="41"/>
        <v>-6126530.3942360003</v>
      </c>
      <c r="S387" s="370" t="s">
        <v>6622</v>
      </c>
      <c r="AH387" t="s">
        <v>25</v>
      </c>
      <c r="AJ387" s="172">
        <v>89</v>
      </c>
      <c r="AK387" s="172" t="s">
        <v>4862</v>
      </c>
      <c r="AL387" s="166">
        <v>245000</v>
      </c>
      <c r="AM387" s="172">
        <v>16</v>
      </c>
      <c r="AN387" s="172">
        <f t="shared" si="56"/>
        <v>606</v>
      </c>
      <c r="AO387" s="172">
        <f t="shared" si="57"/>
        <v>148470000</v>
      </c>
      <c r="AP387" s="172"/>
    </row>
    <row r="388" spans="13:47">
      <c r="M388" s="357" t="s">
        <v>6464</v>
      </c>
      <c r="N388" s="1">
        <v>1098146.8035800001</v>
      </c>
      <c r="O388" s="370" t="s">
        <v>6624</v>
      </c>
      <c r="P388" s="370">
        <v>73</v>
      </c>
      <c r="Q388" s="18">
        <v>2521.1733559999998</v>
      </c>
      <c r="R388" s="18">
        <f t="shared" si="41"/>
        <v>184045.65498799999</v>
      </c>
      <c r="S388" s="370" t="s">
        <v>4975</v>
      </c>
      <c r="AJ388" s="20">
        <v>90</v>
      </c>
      <c r="AK388" s="20" t="s">
        <v>4895</v>
      </c>
      <c r="AL388" s="37">
        <v>312598</v>
      </c>
      <c r="AM388" s="20">
        <v>0</v>
      </c>
      <c r="AN388" s="20">
        <f t="shared" si="56"/>
        <v>590</v>
      </c>
      <c r="AO388" s="20">
        <f t="shared" si="57"/>
        <v>184432820</v>
      </c>
      <c r="AP388" s="20"/>
      <c r="AU388" t="s">
        <v>25</v>
      </c>
    </row>
    <row r="389" spans="13:47">
      <c r="M389" s="357" t="s">
        <v>6467</v>
      </c>
      <c r="N389" s="1">
        <v>540424.560405</v>
      </c>
      <c r="O389" s="370" t="s">
        <v>6636</v>
      </c>
      <c r="P389" s="370">
        <v>1275</v>
      </c>
      <c r="Q389" s="18">
        <v>2528.6778709999999</v>
      </c>
      <c r="R389" s="18">
        <f t="shared" si="41"/>
        <v>3224064.2855249997</v>
      </c>
      <c r="S389" s="370" t="s">
        <v>4975</v>
      </c>
      <c r="AJ389" s="20">
        <v>91</v>
      </c>
      <c r="AK389" s="20" t="s">
        <v>4895</v>
      </c>
      <c r="AL389" s="37">
        <v>780000</v>
      </c>
      <c r="AM389" s="20">
        <v>0</v>
      </c>
      <c r="AN389" s="20">
        <f t="shared" si="56"/>
        <v>590</v>
      </c>
      <c r="AO389" s="20">
        <f t="shared" si="57"/>
        <v>460200000</v>
      </c>
      <c r="AP389" s="20"/>
    </row>
    <row r="390" spans="13:47">
      <c r="M390" s="357" t="s">
        <v>6468</v>
      </c>
      <c r="N390" s="1">
        <v>2781712.2405709997</v>
      </c>
      <c r="O390" s="370" t="s">
        <v>6637</v>
      </c>
      <c r="P390" s="370">
        <v>57</v>
      </c>
      <c r="Q390" s="18">
        <v>2549.1635460000002</v>
      </c>
      <c r="R390" s="18">
        <f t="shared" si="41"/>
        <v>145302.32212200001</v>
      </c>
      <c r="S390" s="370" t="s">
        <v>4975</v>
      </c>
      <c r="AJ390" s="135">
        <v>92</v>
      </c>
      <c r="AK390" s="135" t="s">
        <v>4895</v>
      </c>
      <c r="AL390" s="136">
        <v>-300000</v>
      </c>
      <c r="AM390" s="135">
        <v>1</v>
      </c>
      <c r="AN390" s="135">
        <f t="shared" si="56"/>
        <v>590</v>
      </c>
      <c r="AO390" s="135">
        <f t="shared" si="57"/>
        <v>-177000000</v>
      </c>
      <c r="AP390" s="135"/>
    </row>
    <row r="391" spans="13:47">
      <c r="M391" s="357" t="s">
        <v>6471</v>
      </c>
      <c r="N391" s="1">
        <v>159680.86334900002</v>
      </c>
      <c r="O391" s="370" t="s">
        <v>6638</v>
      </c>
      <c r="P391" s="370">
        <v>2730</v>
      </c>
      <c r="Q391" s="18">
        <v>2631.5477879999999</v>
      </c>
      <c r="R391" s="18">
        <f t="shared" si="41"/>
        <v>7184125.4612399992</v>
      </c>
      <c r="S391" s="370" t="s">
        <v>4975</v>
      </c>
      <c r="AA391" t="s">
        <v>25</v>
      </c>
      <c r="AJ391" s="20">
        <v>93</v>
      </c>
      <c r="AK391" s="20" t="s">
        <v>4863</v>
      </c>
      <c r="AL391" s="37">
        <v>300000</v>
      </c>
      <c r="AM391" s="20">
        <v>0</v>
      </c>
      <c r="AN391" s="20">
        <f t="shared" si="56"/>
        <v>589</v>
      </c>
      <c r="AO391" s="20">
        <f t="shared" si="57"/>
        <v>176700000</v>
      </c>
      <c r="AP391" s="20"/>
    </row>
    <row r="392" spans="13:47">
      <c r="M392" s="357" t="s">
        <v>6491</v>
      </c>
      <c r="N392" s="1">
        <v>13945790.265610002</v>
      </c>
      <c r="O392" s="370" t="s">
        <v>6640</v>
      </c>
      <c r="P392" s="370">
        <v>3150</v>
      </c>
      <c r="Q392" s="18">
        <v>2622.3760240000001</v>
      </c>
      <c r="R392" s="18">
        <f t="shared" si="41"/>
        <v>8260484.4756000005</v>
      </c>
      <c r="S392" s="370" t="s">
        <v>4975</v>
      </c>
      <c r="AJ392" s="20">
        <v>94</v>
      </c>
      <c r="AK392" s="20" t="s">
        <v>4863</v>
      </c>
      <c r="AL392" s="37">
        <v>8660000</v>
      </c>
      <c r="AM392" s="20">
        <v>8</v>
      </c>
      <c r="AN392" s="20">
        <f t="shared" si="56"/>
        <v>589</v>
      </c>
      <c r="AO392" s="20">
        <f t="shared" si="57"/>
        <v>5100740000</v>
      </c>
      <c r="AP392" s="20"/>
    </row>
    <row r="393" spans="13:47">
      <c r="M393" s="357" t="s">
        <v>6493</v>
      </c>
      <c r="N393" s="1">
        <v>457914.84466800001</v>
      </c>
      <c r="O393" s="370" t="s">
        <v>6641</v>
      </c>
      <c r="P393" s="370">
        <v>1044</v>
      </c>
      <c r="Q393" s="18">
        <v>2673.5657609999998</v>
      </c>
      <c r="R393" s="18">
        <f t="shared" si="41"/>
        <v>2791202.6544840001</v>
      </c>
      <c r="S393" s="370" t="s">
        <v>4975</v>
      </c>
      <c r="AA393" t="s">
        <v>25</v>
      </c>
      <c r="AJ393" s="97">
        <v>95</v>
      </c>
      <c r="AK393" s="97" t="s">
        <v>4912</v>
      </c>
      <c r="AL393" s="131">
        <v>200000</v>
      </c>
      <c r="AM393" s="97">
        <v>3</v>
      </c>
      <c r="AN393" s="97">
        <f t="shared" si="56"/>
        <v>581</v>
      </c>
      <c r="AO393" s="97">
        <f t="shared" si="57"/>
        <v>116200000</v>
      </c>
      <c r="AP393" s="97"/>
      <c r="AT393" t="s">
        <v>25</v>
      </c>
    </row>
    <row r="394" spans="13:47">
      <c r="M394" s="357" t="s">
        <v>6494</v>
      </c>
      <c r="N394" s="1">
        <v>974570.33942399989</v>
      </c>
      <c r="O394" s="370" t="s">
        <v>6642</v>
      </c>
      <c r="P394" s="370">
        <v>90</v>
      </c>
      <c r="Q394" s="18">
        <v>2757.13409</v>
      </c>
      <c r="R394" s="18">
        <f t="shared" si="41"/>
        <v>248142.0681</v>
      </c>
      <c r="S394" s="370" t="s">
        <v>4975</v>
      </c>
      <c r="AJ394" s="97">
        <v>96</v>
      </c>
      <c r="AK394" s="97" t="s">
        <v>4915</v>
      </c>
      <c r="AL394" s="131">
        <v>20000</v>
      </c>
      <c r="AM394" s="97">
        <v>1</v>
      </c>
      <c r="AN394" s="97">
        <f t="shared" si="56"/>
        <v>578</v>
      </c>
      <c r="AO394" s="97">
        <f t="shared" si="57"/>
        <v>11560000</v>
      </c>
      <c r="AP394" s="97"/>
    </row>
    <row r="395" spans="13:47">
      <c r="M395" s="357" t="s">
        <v>6495</v>
      </c>
      <c r="N395" s="1">
        <v>746198.52596400003</v>
      </c>
      <c r="O395" s="189" t="s">
        <v>6653</v>
      </c>
      <c r="P395" s="189">
        <v>-20619</v>
      </c>
      <c r="Q395" s="190">
        <v>2901.357</v>
      </c>
      <c r="R395" s="190">
        <f t="shared" si="41"/>
        <v>-59823079.983000003</v>
      </c>
      <c r="S395" s="189" t="s">
        <v>5622</v>
      </c>
      <c r="AA395" t="s">
        <v>25</v>
      </c>
      <c r="AJ395" s="20">
        <v>97</v>
      </c>
      <c r="AK395" s="20" t="s">
        <v>4924</v>
      </c>
      <c r="AL395" s="37">
        <v>14340000</v>
      </c>
      <c r="AM395" s="20">
        <v>7</v>
      </c>
      <c r="AN395" s="20">
        <f t="shared" si="56"/>
        <v>577</v>
      </c>
      <c r="AO395" s="20">
        <f t="shared" si="57"/>
        <v>8274180000</v>
      </c>
      <c r="AP395" s="20"/>
    </row>
    <row r="396" spans="13:47">
      <c r="M396" s="357" t="s">
        <v>6497</v>
      </c>
      <c r="N396" s="1">
        <v>416108</v>
      </c>
      <c r="O396" s="189" t="s">
        <v>6653</v>
      </c>
      <c r="P396" s="189">
        <v>-6894</v>
      </c>
      <c r="Q396" s="190">
        <v>2901.357</v>
      </c>
      <c r="R396" s="190">
        <f t="shared" si="41"/>
        <v>-20001955.158</v>
      </c>
      <c r="S396" s="189" t="s">
        <v>6654</v>
      </c>
      <c r="AA396" t="s">
        <v>25</v>
      </c>
      <c r="AJ396" s="20">
        <v>98</v>
      </c>
      <c r="AK396" s="20" t="s">
        <v>4930</v>
      </c>
      <c r="AL396" s="37">
        <v>10000000</v>
      </c>
      <c r="AM396" s="20">
        <v>6</v>
      </c>
      <c r="AN396" s="20">
        <f t="shared" si="56"/>
        <v>570</v>
      </c>
      <c r="AO396" s="20">
        <f t="shared" si="57"/>
        <v>5700000000</v>
      </c>
      <c r="AP396" s="20" t="s">
        <v>4559</v>
      </c>
    </row>
    <row r="397" spans="13:47">
      <c r="M397" s="357" t="s">
        <v>6508</v>
      </c>
      <c r="N397" s="1">
        <v>361620.57555000001</v>
      </c>
      <c r="O397" s="370" t="s">
        <v>6653</v>
      </c>
      <c r="P397" s="370">
        <v>6894</v>
      </c>
      <c r="Q397" s="18">
        <v>2901.357</v>
      </c>
      <c r="R397" s="18">
        <f t="shared" si="41"/>
        <v>20001955.158</v>
      </c>
      <c r="S397" s="370" t="s">
        <v>6656</v>
      </c>
      <c r="AB397" t="s">
        <v>25</v>
      </c>
      <c r="AJ397" s="20">
        <v>99</v>
      </c>
      <c r="AK397" s="20" t="s">
        <v>4935</v>
      </c>
      <c r="AL397" s="37">
        <v>4033949</v>
      </c>
      <c r="AM397" s="20">
        <v>2</v>
      </c>
      <c r="AN397" s="20">
        <f t="shared" si="56"/>
        <v>564</v>
      </c>
      <c r="AO397" s="20">
        <f t="shared" si="57"/>
        <v>2275147236</v>
      </c>
      <c r="AP397" s="20" t="s">
        <v>4937</v>
      </c>
    </row>
    <row r="398" spans="13:47" ht="21" customHeight="1">
      <c r="M398" s="357" t="s">
        <v>6509</v>
      </c>
      <c r="N398" s="1">
        <v>761310.51884999999</v>
      </c>
      <c r="O398" s="370" t="s">
        <v>6653</v>
      </c>
      <c r="P398" s="370">
        <v>-193841</v>
      </c>
      <c r="Q398" s="18">
        <v>2901.357</v>
      </c>
      <c r="R398" s="18">
        <f t="shared" si="41"/>
        <v>-562401942.23699999</v>
      </c>
      <c r="S398" s="370" t="s">
        <v>5280</v>
      </c>
      <c r="AC398" t="s">
        <v>25</v>
      </c>
      <c r="AJ398" s="97">
        <v>100</v>
      </c>
      <c r="AK398" s="97" t="s">
        <v>4941</v>
      </c>
      <c r="AL398" s="131">
        <v>11500000</v>
      </c>
      <c r="AM398" s="97">
        <v>2</v>
      </c>
      <c r="AN398" s="97">
        <f t="shared" si="56"/>
        <v>562</v>
      </c>
      <c r="AO398" s="97">
        <f t="shared" si="57"/>
        <v>6463000000</v>
      </c>
      <c r="AP398" s="97" t="s">
        <v>4943</v>
      </c>
    </row>
    <row r="399" spans="13:47">
      <c r="M399" s="357" t="s">
        <v>6510</v>
      </c>
      <c r="N399" s="1">
        <v>3047100.3041699999</v>
      </c>
      <c r="O399" s="370" t="s">
        <v>6653</v>
      </c>
      <c r="P399" s="370">
        <v>-155192</v>
      </c>
      <c r="Q399" s="18">
        <v>2901.357</v>
      </c>
      <c r="R399" s="18">
        <f t="shared" si="41"/>
        <v>-450267395.54399997</v>
      </c>
      <c r="S399" s="370" t="s">
        <v>5623</v>
      </c>
      <c r="AA399" t="s">
        <v>25</v>
      </c>
      <c r="AJ399" s="97">
        <v>101</v>
      </c>
      <c r="AK399" s="97" t="s">
        <v>4945</v>
      </c>
      <c r="AL399" s="131">
        <v>250000</v>
      </c>
      <c r="AM399" s="97">
        <v>3</v>
      </c>
      <c r="AN399" s="97">
        <f t="shared" si="56"/>
        <v>560</v>
      </c>
      <c r="AO399" s="97">
        <f t="shared" si="57"/>
        <v>140000000</v>
      </c>
      <c r="AP399" s="97"/>
    </row>
    <row r="400" spans="13:47" ht="18" customHeight="1">
      <c r="M400" s="357" t="s">
        <v>6512</v>
      </c>
      <c r="N400" s="1">
        <v>2437078.451072</v>
      </c>
      <c r="O400" s="370" t="s">
        <v>6653</v>
      </c>
      <c r="P400" s="370">
        <v>172</v>
      </c>
      <c r="Q400" s="18">
        <v>2901.357</v>
      </c>
      <c r="R400" s="18">
        <f t="shared" si="41"/>
        <v>499033.40399999998</v>
      </c>
      <c r="S400" s="370" t="s">
        <v>5611</v>
      </c>
      <c r="AC400" t="s">
        <v>25</v>
      </c>
      <c r="AJ400" s="97">
        <v>102</v>
      </c>
      <c r="AK400" s="97" t="s">
        <v>4970</v>
      </c>
      <c r="AL400" s="131">
        <v>6000000</v>
      </c>
      <c r="AM400" s="97">
        <v>1</v>
      </c>
      <c r="AN400" s="97">
        <f t="shared" si="56"/>
        <v>557</v>
      </c>
      <c r="AO400" s="97">
        <f t="shared" si="57"/>
        <v>3342000000</v>
      </c>
      <c r="AP400" s="97" t="s">
        <v>4943</v>
      </c>
    </row>
    <row r="401" spans="13:47" ht="21" customHeight="1">
      <c r="M401" s="357" t="s">
        <v>6586</v>
      </c>
      <c r="N401" s="1">
        <v>7747639.4065840002</v>
      </c>
      <c r="O401" s="370" t="s">
        <v>6653</v>
      </c>
      <c r="P401" s="370">
        <v>1163</v>
      </c>
      <c r="Q401" s="18">
        <v>2901.357</v>
      </c>
      <c r="R401" s="18">
        <f t="shared" si="41"/>
        <v>3374278.1910000001</v>
      </c>
      <c r="S401" s="370" t="s">
        <v>4975</v>
      </c>
      <c r="AC401" t="s">
        <v>25</v>
      </c>
      <c r="AF401" t="s">
        <v>25</v>
      </c>
      <c r="AJ401" s="97">
        <v>103</v>
      </c>
      <c r="AK401" s="97" t="s">
        <v>4971</v>
      </c>
      <c r="AL401" s="131">
        <v>1500000</v>
      </c>
      <c r="AM401" s="97">
        <v>6</v>
      </c>
      <c r="AN401" s="97">
        <f t="shared" si="56"/>
        <v>556</v>
      </c>
      <c r="AO401" s="97">
        <f t="shared" si="57"/>
        <v>834000000</v>
      </c>
      <c r="AP401" s="97" t="s">
        <v>4943</v>
      </c>
    </row>
    <row r="402" spans="13:47">
      <c r="M402" s="357" t="s">
        <v>6587</v>
      </c>
      <c r="N402" s="1">
        <v>5584918.3522559991</v>
      </c>
      <c r="O402" s="370" t="s">
        <v>6661</v>
      </c>
      <c r="P402" s="370">
        <v>17233</v>
      </c>
      <c r="Q402" s="18">
        <v>2901.357</v>
      </c>
      <c r="R402" s="18">
        <f t="shared" si="41"/>
        <v>49999085.181000002</v>
      </c>
      <c r="S402" s="370" t="s">
        <v>6662</v>
      </c>
      <c r="AB402" t="s">
        <v>25</v>
      </c>
      <c r="AJ402" s="20">
        <v>104</v>
      </c>
      <c r="AK402" s="20" t="s">
        <v>895</v>
      </c>
      <c r="AL402" s="37">
        <v>-3960043</v>
      </c>
      <c r="AM402" s="20">
        <v>2</v>
      </c>
      <c r="AN402" s="20">
        <f t="shared" si="56"/>
        <v>550</v>
      </c>
      <c r="AO402" s="20">
        <f t="shared" si="57"/>
        <v>-2178023650</v>
      </c>
      <c r="AP402" s="20"/>
      <c r="AU402" t="s">
        <v>25</v>
      </c>
    </row>
    <row r="403" spans="13:47">
      <c r="M403" s="357" t="s">
        <v>6588</v>
      </c>
      <c r="N403" s="1">
        <v>573666.77206800005</v>
      </c>
      <c r="O403" s="370" t="s">
        <v>6661</v>
      </c>
      <c r="P403" s="370">
        <v>10340</v>
      </c>
      <c r="Q403" s="18">
        <v>2901.357</v>
      </c>
      <c r="R403" s="18">
        <f t="shared" si="41"/>
        <v>30000031.379999999</v>
      </c>
      <c r="S403" s="370" t="s">
        <v>5611</v>
      </c>
      <c r="AJ403" s="20">
        <v>105</v>
      </c>
      <c r="AK403" s="20" t="s">
        <v>4989</v>
      </c>
      <c r="AL403" s="37">
        <v>230000</v>
      </c>
      <c r="AM403" s="20">
        <v>0</v>
      </c>
      <c r="AN403" s="20">
        <f t="shared" si="56"/>
        <v>548</v>
      </c>
      <c r="AO403" s="20">
        <f t="shared" si="57"/>
        <v>126040000</v>
      </c>
      <c r="AP403" s="20"/>
    </row>
    <row r="404" spans="13:47">
      <c r="M404" s="357" t="s">
        <v>6591</v>
      </c>
      <c r="N404" s="1">
        <v>1870018.6536539998</v>
      </c>
      <c r="O404" s="370" t="s">
        <v>6667</v>
      </c>
      <c r="P404" s="370">
        <v>17234</v>
      </c>
      <c r="Q404" s="18">
        <v>2901.357</v>
      </c>
      <c r="R404" s="18">
        <f t="shared" si="41"/>
        <v>50001986.538000003</v>
      </c>
      <c r="S404" s="370" t="s">
        <v>6662</v>
      </c>
      <c r="AJ404" s="97">
        <v>106</v>
      </c>
      <c r="AK404" s="97" t="s">
        <v>4989</v>
      </c>
      <c r="AL404" s="131">
        <v>230000</v>
      </c>
      <c r="AM404" s="97">
        <v>1</v>
      </c>
      <c r="AN404" s="97">
        <f t="shared" si="56"/>
        <v>548</v>
      </c>
      <c r="AO404" s="97">
        <f t="shared" si="57"/>
        <v>126040000</v>
      </c>
      <c r="AP404" s="97"/>
    </row>
    <row r="405" spans="13:47">
      <c r="M405" s="357" t="s">
        <v>6595</v>
      </c>
      <c r="N405" s="1">
        <v>117222.435308</v>
      </c>
      <c r="O405" s="370" t="s">
        <v>6668</v>
      </c>
      <c r="P405" s="370">
        <v>17234</v>
      </c>
      <c r="Q405" s="18">
        <v>2901.357</v>
      </c>
      <c r="R405" s="18">
        <f t="shared" si="41"/>
        <v>50001986.538000003</v>
      </c>
      <c r="S405" s="370" t="s">
        <v>6662</v>
      </c>
      <c r="AJ405" s="97">
        <v>107</v>
      </c>
      <c r="AK405" s="97" t="s">
        <v>4990</v>
      </c>
      <c r="AL405" s="131">
        <v>500000</v>
      </c>
      <c r="AM405" s="97">
        <v>1</v>
      </c>
      <c r="AN405" s="97">
        <f t="shared" si="56"/>
        <v>547</v>
      </c>
      <c r="AO405" s="97">
        <f t="shared" si="57"/>
        <v>273500000</v>
      </c>
      <c r="AP405" s="97"/>
    </row>
    <row r="406" spans="13:47">
      <c r="M406" s="357" t="s">
        <v>6596</v>
      </c>
      <c r="N406" s="1">
        <v>1940857.6749900002</v>
      </c>
      <c r="O406" s="370" t="s">
        <v>6668</v>
      </c>
      <c r="P406" s="370">
        <v>17234</v>
      </c>
      <c r="Q406" s="18">
        <v>2901.357</v>
      </c>
      <c r="R406" s="18">
        <f t="shared" si="41"/>
        <v>50001986.538000003</v>
      </c>
      <c r="S406" s="370" t="s">
        <v>6673</v>
      </c>
      <c r="AJ406" s="20">
        <v>108</v>
      </c>
      <c r="AK406" s="20" t="s">
        <v>4993</v>
      </c>
      <c r="AL406" s="37">
        <v>-880000</v>
      </c>
      <c r="AM406" s="20">
        <v>4</v>
      </c>
      <c r="AN406" s="20">
        <f t="shared" si="56"/>
        <v>546</v>
      </c>
      <c r="AO406" s="20">
        <f t="shared" si="57"/>
        <v>-480480000</v>
      </c>
      <c r="AP406" s="20"/>
    </row>
    <row r="407" spans="13:47">
      <c r="M407" s="357" t="s">
        <v>6609</v>
      </c>
      <c r="N407" s="1">
        <v>200000000</v>
      </c>
      <c r="O407" s="370" t="s">
        <v>6669</v>
      </c>
      <c r="P407" s="370">
        <v>17233</v>
      </c>
      <c r="Q407" s="18">
        <v>2901.357</v>
      </c>
      <c r="R407" s="18">
        <f t="shared" si="41"/>
        <v>49999085.181000002</v>
      </c>
      <c r="S407" s="370" t="s">
        <v>6662</v>
      </c>
      <c r="AJ407" s="135">
        <v>109</v>
      </c>
      <c r="AK407" s="135" t="s">
        <v>4997</v>
      </c>
      <c r="AL407" s="136">
        <v>873000</v>
      </c>
      <c r="AM407" s="135">
        <v>0</v>
      </c>
      <c r="AN407" s="135">
        <f t="shared" si="56"/>
        <v>542</v>
      </c>
      <c r="AO407" s="135">
        <f t="shared" si="57"/>
        <v>473166000</v>
      </c>
      <c r="AP407" s="135" t="s">
        <v>4943</v>
      </c>
    </row>
    <row r="408" spans="13:47">
      <c r="M408" s="357" t="s">
        <v>6615</v>
      </c>
      <c r="N408" s="1">
        <v>195324.59944799999</v>
      </c>
      <c r="O408" s="370" t="s">
        <v>6670</v>
      </c>
      <c r="P408" s="370">
        <v>34467</v>
      </c>
      <c r="Q408" s="18">
        <v>2901.357</v>
      </c>
      <c r="R408" s="18">
        <f t="shared" si="41"/>
        <v>100001071.719</v>
      </c>
      <c r="S408" s="370" t="s">
        <v>6662</v>
      </c>
      <c r="AJ408" s="20">
        <v>110</v>
      </c>
      <c r="AK408" s="20" t="s">
        <v>4997</v>
      </c>
      <c r="AL408" s="37">
        <v>127000</v>
      </c>
      <c r="AM408" s="20">
        <v>0</v>
      </c>
      <c r="AN408" s="20">
        <f t="shared" si="56"/>
        <v>542</v>
      </c>
      <c r="AO408" s="20">
        <f t="shared" si="57"/>
        <v>68834000</v>
      </c>
      <c r="AP408" s="20" t="s">
        <v>4943</v>
      </c>
    </row>
    <row r="409" spans="13:47">
      <c r="M409" s="357" t="s">
        <v>6615</v>
      </c>
      <c r="N409" s="1">
        <v>20318581.172208</v>
      </c>
      <c r="O409" s="370" t="s">
        <v>6672</v>
      </c>
      <c r="P409" s="370">
        <v>17233</v>
      </c>
      <c r="Q409" s="18">
        <v>2901.357</v>
      </c>
      <c r="R409" s="18">
        <f t="shared" si="41"/>
        <v>49999085.181000002</v>
      </c>
      <c r="S409" s="370" t="s">
        <v>6662</v>
      </c>
      <c r="AJ409" s="20">
        <v>111</v>
      </c>
      <c r="AK409" s="20" t="s">
        <v>4997</v>
      </c>
      <c r="AL409" s="37">
        <v>73000</v>
      </c>
      <c r="AM409" s="20">
        <v>1</v>
      </c>
      <c r="AN409" s="20">
        <f t="shared" si="56"/>
        <v>542</v>
      </c>
      <c r="AO409" s="20">
        <f t="shared" si="57"/>
        <v>39566000</v>
      </c>
      <c r="AP409" s="20"/>
    </row>
    <row r="410" spans="13:47">
      <c r="M410" s="357" t="s">
        <v>6617</v>
      </c>
      <c r="N410" s="1">
        <v>2893976.613864</v>
      </c>
      <c r="O410" s="370" t="s">
        <v>6674</v>
      </c>
      <c r="P410" s="370">
        <v>928</v>
      </c>
      <c r="Q410" s="18">
        <v>2820</v>
      </c>
      <c r="R410" s="18">
        <f t="shared" si="41"/>
        <v>2616960</v>
      </c>
      <c r="S410" s="370" t="s">
        <v>4975</v>
      </c>
      <c r="AJ410" s="20">
        <v>112</v>
      </c>
      <c r="AK410" s="20" t="s">
        <v>912</v>
      </c>
      <c r="AL410" s="37">
        <v>4300000</v>
      </c>
      <c r="AM410" s="20">
        <v>1</v>
      </c>
      <c r="AN410" s="20">
        <f t="shared" si="56"/>
        <v>541</v>
      </c>
      <c r="AO410" s="20">
        <f t="shared" si="57"/>
        <v>2326300000</v>
      </c>
      <c r="AP410" s="20"/>
    </row>
    <row r="411" spans="13:47">
      <c r="M411" s="357" t="s">
        <v>6618</v>
      </c>
      <c r="N411" s="1">
        <v>348175.86130300001</v>
      </c>
      <c r="O411" s="370" t="s">
        <v>6674</v>
      </c>
      <c r="P411" s="370">
        <v>-3980</v>
      </c>
      <c r="Q411" s="18">
        <v>2838.81</v>
      </c>
      <c r="R411" s="18">
        <f t="shared" si="41"/>
        <v>-11298463.799999999</v>
      </c>
      <c r="S411" s="370" t="s">
        <v>6675</v>
      </c>
      <c r="AB411" t="s">
        <v>25</v>
      </c>
      <c r="AJ411" s="20">
        <v>113</v>
      </c>
      <c r="AK411" s="20" t="s">
        <v>4874</v>
      </c>
      <c r="AL411" s="37">
        <v>1600000</v>
      </c>
      <c r="AM411" s="20">
        <v>0</v>
      </c>
      <c r="AN411" s="20">
        <f t="shared" si="56"/>
        <v>540</v>
      </c>
      <c r="AO411" s="20">
        <f t="shared" si="57"/>
        <v>864000000</v>
      </c>
      <c r="AP411" s="20"/>
    </row>
    <row r="412" spans="13:47">
      <c r="M412" s="357" t="s">
        <v>6620</v>
      </c>
      <c r="N412" s="1">
        <v>315280.48550000001</v>
      </c>
      <c r="O412" s="370" t="s">
        <v>6674</v>
      </c>
      <c r="P412" s="370">
        <v>3980</v>
      </c>
      <c r="Q412" s="18">
        <v>2838.81</v>
      </c>
      <c r="R412" s="18">
        <f t="shared" si="41"/>
        <v>11298463.799999999</v>
      </c>
      <c r="S412" s="370" t="s">
        <v>6676</v>
      </c>
      <c r="AB412" t="s">
        <v>25</v>
      </c>
      <c r="AJ412" s="20">
        <v>114</v>
      </c>
      <c r="AK412" s="20" t="s">
        <v>4171</v>
      </c>
      <c r="AL412" s="37">
        <v>-10000000</v>
      </c>
      <c r="AM412" s="20">
        <v>1</v>
      </c>
      <c r="AN412" s="20">
        <f t="shared" si="56"/>
        <v>540</v>
      </c>
      <c r="AO412" s="20">
        <f t="shared" si="57"/>
        <v>-5400000000</v>
      </c>
      <c r="AP412" s="20" t="s">
        <v>5003</v>
      </c>
    </row>
    <row r="413" spans="13:47">
      <c r="M413" s="357" t="s">
        <v>6620</v>
      </c>
      <c r="N413" s="1">
        <v>6128000</v>
      </c>
      <c r="O413" s="370" t="s">
        <v>6674</v>
      </c>
      <c r="P413" s="370">
        <v>23077</v>
      </c>
      <c r="Q413" s="18">
        <v>2838.81</v>
      </c>
      <c r="R413" s="18">
        <f t="shared" ref="R413:R433" si="58">P413*Q413</f>
        <v>65511218.369999997</v>
      </c>
      <c r="S413" s="370" t="s">
        <v>6677</v>
      </c>
      <c r="AJ413" s="20">
        <v>115</v>
      </c>
      <c r="AK413" s="20" t="s">
        <v>5002</v>
      </c>
      <c r="AL413" s="37">
        <v>571000</v>
      </c>
      <c r="AM413" s="20">
        <v>4</v>
      </c>
      <c r="AN413" s="20">
        <f t="shared" si="56"/>
        <v>539</v>
      </c>
      <c r="AO413" s="20">
        <f t="shared" si="57"/>
        <v>307769000</v>
      </c>
      <c r="AP413" s="20"/>
      <c r="AT413" t="s">
        <v>25</v>
      </c>
    </row>
    <row r="414" spans="13:47">
      <c r="M414" s="357" t="s">
        <v>6624</v>
      </c>
      <c r="N414" s="1">
        <v>184045.65498799999</v>
      </c>
      <c r="O414" s="370" t="s">
        <v>6678</v>
      </c>
      <c r="P414" s="370">
        <v>8806</v>
      </c>
      <c r="Q414" s="18">
        <v>2838.81</v>
      </c>
      <c r="R414" s="18">
        <f t="shared" si="58"/>
        <v>24998560.859999999</v>
      </c>
      <c r="S414" s="370" t="s">
        <v>6677</v>
      </c>
      <c r="AJ414" s="20">
        <v>116</v>
      </c>
      <c r="AK414" s="20" t="s">
        <v>5004</v>
      </c>
      <c r="AL414" s="37">
        <v>200000</v>
      </c>
      <c r="AM414" s="20">
        <v>3</v>
      </c>
      <c r="AN414" s="20">
        <f t="shared" ref="AN414:AN425" si="59">AM414+AN415</f>
        <v>535</v>
      </c>
      <c r="AO414" s="20">
        <f t="shared" ref="AO414:AO425" si="60">AL414*AN414</f>
        <v>107000000</v>
      </c>
      <c r="AP414" s="20"/>
    </row>
    <row r="415" spans="13:47">
      <c r="M415" s="357" t="s">
        <v>6636</v>
      </c>
      <c r="N415" s="1">
        <v>3224064.2855249997</v>
      </c>
      <c r="O415" s="370" t="s">
        <v>6680</v>
      </c>
      <c r="P415" s="370">
        <v>88</v>
      </c>
      <c r="Q415" s="18">
        <v>2881.3336610000001</v>
      </c>
      <c r="R415" s="18">
        <f t="shared" si="58"/>
        <v>253557.36216800002</v>
      </c>
      <c r="S415" s="370" t="s">
        <v>4975</v>
      </c>
      <c r="AJ415" s="97">
        <v>117</v>
      </c>
      <c r="AK415" s="97" t="s">
        <v>5010</v>
      </c>
      <c r="AL415" s="131">
        <v>50000</v>
      </c>
      <c r="AM415" s="97">
        <v>7</v>
      </c>
      <c r="AN415" s="97">
        <f t="shared" si="59"/>
        <v>532</v>
      </c>
      <c r="AO415" s="97">
        <f t="shared" si="60"/>
        <v>26600000</v>
      </c>
      <c r="AP415" s="97"/>
      <c r="AU415" t="s">
        <v>25</v>
      </c>
    </row>
    <row r="416" spans="13:47">
      <c r="M416" s="357" t="s">
        <v>6637</v>
      </c>
      <c r="N416" s="1">
        <v>145302.32212200001</v>
      </c>
      <c r="O416" s="370" t="s">
        <v>6680</v>
      </c>
      <c r="P416" s="370">
        <v>4729</v>
      </c>
      <c r="Q416" s="18">
        <v>2881.3336610000001</v>
      </c>
      <c r="R416" s="18">
        <f t="shared" si="58"/>
        <v>13625826.882869001</v>
      </c>
      <c r="S416" s="370" t="s">
        <v>6681</v>
      </c>
      <c r="AJ416" s="20">
        <v>118</v>
      </c>
      <c r="AK416" s="20" t="s">
        <v>5018</v>
      </c>
      <c r="AL416" s="37">
        <v>-500000</v>
      </c>
      <c r="AM416" s="20">
        <v>12</v>
      </c>
      <c r="AN416" s="20">
        <f t="shared" si="59"/>
        <v>525</v>
      </c>
      <c r="AO416" s="20">
        <f t="shared" si="60"/>
        <v>-262500000</v>
      </c>
      <c r="AP416" s="20"/>
    </row>
    <row r="417" spans="13:47">
      <c r="M417" s="357" t="s">
        <v>6638</v>
      </c>
      <c r="N417" s="1">
        <v>7184125.4612399992</v>
      </c>
      <c r="O417" s="370" t="s">
        <v>6682</v>
      </c>
      <c r="P417" s="370">
        <v>322</v>
      </c>
      <c r="Q417" s="18">
        <v>2898.1177969999999</v>
      </c>
      <c r="R417" s="18">
        <f t="shared" si="58"/>
        <v>933193.93063399999</v>
      </c>
      <c r="S417" s="370" t="s">
        <v>4975</v>
      </c>
      <c r="AB417" t="s">
        <v>25</v>
      </c>
      <c r="AJ417" s="97">
        <v>119</v>
      </c>
      <c r="AK417" s="97" t="s">
        <v>911</v>
      </c>
      <c r="AL417" s="131">
        <v>-50000</v>
      </c>
      <c r="AM417" s="97">
        <v>0</v>
      </c>
      <c r="AN417" s="97">
        <f t="shared" si="59"/>
        <v>513</v>
      </c>
      <c r="AO417" s="97">
        <f t="shared" si="60"/>
        <v>-25650000</v>
      </c>
      <c r="AP417" s="97"/>
      <c r="AT417" t="s">
        <v>25</v>
      </c>
      <c r="AU417" t="s">
        <v>25</v>
      </c>
    </row>
    <row r="418" spans="13:47">
      <c r="M418" s="357" t="s">
        <v>6640</v>
      </c>
      <c r="N418" s="1">
        <v>8260484.4756000005</v>
      </c>
      <c r="O418" s="370" t="s">
        <v>6683</v>
      </c>
      <c r="P418" s="370">
        <v>387</v>
      </c>
      <c r="Q418" s="18">
        <v>3079.346732</v>
      </c>
      <c r="R418" s="18">
        <f t="shared" si="58"/>
        <v>1191707.1852839999</v>
      </c>
      <c r="S418" s="370" t="s">
        <v>4975</v>
      </c>
      <c r="AJ418" s="20">
        <v>120</v>
      </c>
      <c r="AK418" s="20" t="s">
        <v>911</v>
      </c>
      <c r="AL418" s="37">
        <v>-50000</v>
      </c>
      <c r="AM418" s="20">
        <v>28</v>
      </c>
      <c r="AN418" s="20">
        <f t="shared" si="59"/>
        <v>513</v>
      </c>
      <c r="AO418" s="20">
        <f t="shared" si="60"/>
        <v>-25650000</v>
      </c>
      <c r="AP418" s="20"/>
    </row>
    <row r="419" spans="13:47">
      <c r="M419" s="357" t="s">
        <v>6641</v>
      </c>
      <c r="N419" s="1">
        <v>2791202.6544840001</v>
      </c>
      <c r="O419" s="370" t="s">
        <v>6684</v>
      </c>
      <c r="P419" s="370">
        <v>807</v>
      </c>
      <c r="Q419" s="18">
        <v>3145.9883460000001</v>
      </c>
      <c r="R419" s="18">
        <f t="shared" si="58"/>
        <v>2538812.595222</v>
      </c>
      <c r="S419" s="370" t="s">
        <v>4975</v>
      </c>
      <c r="AB419" t="s">
        <v>25</v>
      </c>
      <c r="AJ419" s="20">
        <v>121</v>
      </c>
      <c r="AK419" s="20" t="s">
        <v>5059</v>
      </c>
      <c r="AL419" s="37">
        <v>-3020625</v>
      </c>
      <c r="AM419" s="20">
        <v>18</v>
      </c>
      <c r="AN419" s="20">
        <f t="shared" si="59"/>
        <v>485</v>
      </c>
      <c r="AO419" s="20">
        <f t="shared" si="60"/>
        <v>-1465003125</v>
      </c>
      <c r="AP419" s="20"/>
    </row>
    <row r="420" spans="13:47">
      <c r="M420" s="357" t="s">
        <v>6642</v>
      </c>
      <c r="N420" s="1">
        <v>248142.0681</v>
      </c>
      <c r="O420" s="189" t="s">
        <v>6686</v>
      </c>
      <c r="P420" s="189">
        <v>-5039</v>
      </c>
      <c r="Q420" s="190">
        <v>3008.7638149999998</v>
      </c>
      <c r="R420" s="190">
        <f t="shared" si="58"/>
        <v>-15161160.863784999</v>
      </c>
      <c r="S420" s="189" t="s">
        <v>6687</v>
      </c>
      <c r="AA420" t="s">
        <v>25</v>
      </c>
      <c r="AJ420" s="20">
        <v>122</v>
      </c>
      <c r="AK420" s="20" t="s">
        <v>5070</v>
      </c>
      <c r="AL420" s="37">
        <v>18000000</v>
      </c>
      <c r="AM420" s="20">
        <v>19</v>
      </c>
      <c r="AN420" s="20">
        <f t="shared" si="59"/>
        <v>467</v>
      </c>
      <c r="AO420" s="20">
        <f t="shared" si="60"/>
        <v>8406000000</v>
      </c>
      <c r="AP420" s="20"/>
      <c r="AT420" t="s">
        <v>25</v>
      </c>
    </row>
    <row r="421" spans="13:47">
      <c r="M421" s="357" t="s">
        <v>6653</v>
      </c>
      <c r="N421" s="1">
        <v>20001955</v>
      </c>
      <c r="O421" s="370" t="s">
        <v>6686</v>
      </c>
      <c r="P421" s="370">
        <v>666</v>
      </c>
      <c r="Q421" s="18">
        <v>3028.3040940000001</v>
      </c>
      <c r="R421" s="18">
        <f t="shared" si="58"/>
        <v>2016850.526604</v>
      </c>
      <c r="S421" s="370" t="s">
        <v>4975</v>
      </c>
      <c r="AB421" t="s">
        <v>25</v>
      </c>
      <c r="AJ421" s="20">
        <v>123</v>
      </c>
      <c r="AK421" s="20" t="s">
        <v>5097</v>
      </c>
      <c r="AL421" s="37">
        <v>2000000</v>
      </c>
      <c r="AM421" s="20">
        <v>6</v>
      </c>
      <c r="AN421" s="20">
        <f t="shared" si="59"/>
        <v>448</v>
      </c>
      <c r="AO421" s="20">
        <f t="shared" si="60"/>
        <v>896000000</v>
      </c>
      <c r="AP421" s="20"/>
    </row>
    <row r="422" spans="13:47">
      <c r="M422" s="357" t="s">
        <v>6653</v>
      </c>
      <c r="N422" s="1">
        <v>-562401942</v>
      </c>
      <c r="O422" s="370" t="s">
        <v>6688</v>
      </c>
      <c r="P422" s="370">
        <v>44</v>
      </c>
      <c r="Q422" s="18">
        <v>2971.6949030000001</v>
      </c>
      <c r="R422" s="18">
        <f t="shared" si="58"/>
        <v>130754.575732</v>
      </c>
      <c r="S422" s="370" t="s">
        <v>4975</v>
      </c>
      <c r="AJ422" s="97">
        <v>124</v>
      </c>
      <c r="AK422" s="97" t="s">
        <v>5106</v>
      </c>
      <c r="AL422" s="131">
        <v>40000000</v>
      </c>
      <c r="AM422" s="97">
        <v>6</v>
      </c>
      <c r="AN422" s="97">
        <f t="shared" si="59"/>
        <v>442</v>
      </c>
      <c r="AO422" s="97">
        <f t="shared" si="60"/>
        <v>17680000000</v>
      </c>
      <c r="AP422" s="97"/>
    </row>
    <row r="423" spans="13:47">
      <c r="M423" s="357" t="s">
        <v>6653</v>
      </c>
      <c r="N423" s="1">
        <v>499033.40399999998</v>
      </c>
      <c r="O423" s="370" t="s">
        <v>6689</v>
      </c>
      <c r="P423" s="370">
        <v>52</v>
      </c>
      <c r="Q423" s="18">
        <v>2956.8541150000001</v>
      </c>
      <c r="R423" s="18">
        <f t="shared" si="58"/>
        <v>153756.41398000001</v>
      </c>
      <c r="S423" s="370" t="s">
        <v>4975</v>
      </c>
      <c r="AB423" t="s">
        <v>25</v>
      </c>
      <c r="AJ423" s="20">
        <v>125</v>
      </c>
      <c r="AK423" s="20" t="s">
        <v>5115</v>
      </c>
      <c r="AL423" s="37">
        <v>200000</v>
      </c>
      <c r="AM423" s="20">
        <v>0</v>
      </c>
      <c r="AN423" s="20">
        <f t="shared" si="59"/>
        <v>436</v>
      </c>
      <c r="AO423" s="20">
        <f t="shared" si="60"/>
        <v>87200000</v>
      </c>
      <c r="AP423" s="20"/>
    </row>
    <row r="424" spans="13:47">
      <c r="M424" s="357" t="s">
        <v>6653</v>
      </c>
      <c r="N424" s="1">
        <v>3374278.1910000001</v>
      </c>
      <c r="O424" s="189" t="s">
        <v>6690</v>
      </c>
      <c r="P424" s="189">
        <v>-3365</v>
      </c>
      <c r="Q424" s="190">
        <v>3036.1223669999999</v>
      </c>
      <c r="R424" s="190">
        <f t="shared" si="58"/>
        <v>-10216551.764954999</v>
      </c>
      <c r="S424" s="189" t="s">
        <v>6687</v>
      </c>
      <c r="AJ424" s="97">
        <v>126</v>
      </c>
      <c r="AK424" s="97" t="s">
        <v>5115</v>
      </c>
      <c r="AL424" s="131">
        <v>200000</v>
      </c>
      <c r="AM424" s="97">
        <v>1</v>
      </c>
      <c r="AN424" s="97">
        <f t="shared" si="59"/>
        <v>436</v>
      </c>
      <c r="AO424" s="97">
        <f t="shared" si="60"/>
        <v>87200000</v>
      </c>
      <c r="AP424" s="97"/>
    </row>
    <row r="425" spans="13:47">
      <c r="M425" s="357" t="s">
        <v>6661</v>
      </c>
      <c r="N425" s="1">
        <v>30000000</v>
      </c>
      <c r="O425" s="189" t="s">
        <v>6694</v>
      </c>
      <c r="P425" s="189">
        <v>-1733</v>
      </c>
      <c r="Q425" s="190">
        <v>2940.3427999999999</v>
      </c>
      <c r="R425" s="190">
        <f t="shared" si="58"/>
        <v>-5095614.0723999999</v>
      </c>
      <c r="S425" s="189" t="s">
        <v>6687</v>
      </c>
      <c r="AJ425" s="20">
        <v>127</v>
      </c>
      <c r="AK425" s="20" t="s">
        <v>5118</v>
      </c>
      <c r="AL425" s="37">
        <v>50000</v>
      </c>
      <c r="AM425" s="20">
        <v>4</v>
      </c>
      <c r="AN425" s="20">
        <f t="shared" si="59"/>
        <v>435</v>
      </c>
      <c r="AO425" s="20">
        <f t="shared" si="60"/>
        <v>21750000</v>
      </c>
      <c r="AP425" s="20"/>
    </row>
    <row r="426" spans="13:47">
      <c r="M426" s="357" t="s">
        <v>6668</v>
      </c>
      <c r="N426" s="1">
        <v>50000000</v>
      </c>
      <c r="O426" s="370" t="s">
        <v>6694</v>
      </c>
      <c r="P426" s="370">
        <v>187</v>
      </c>
      <c r="Q426" s="18">
        <v>2940</v>
      </c>
      <c r="R426" s="18">
        <f t="shared" si="58"/>
        <v>549780</v>
      </c>
      <c r="S426" s="370" t="s">
        <v>4975</v>
      </c>
      <c r="AJ426" s="20">
        <v>128</v>
      </c>
      <c r="AK426" s="20" t="s">
        <v>5120</v>
      </c>
      <c r="AL426" s="37">
        <v>100000</v>
      </c>
      <c r="AM426" s="20">
        <v>9</v>
      </c>
      <c r="AN426" s="20">
        <f t="shared" ref="AN426:AN436" si="61">AM426+AN427</f>
        <v>431</v>
      </c>
      <c r="AO426" s="20">
        <f t="shared" ref="AO426:AO436" si="62">AL426*AN426</f>
        <v>43100000</v>
      </c>
      <c r="AP426" s="20"/>
    </row>
    <row r="427" spans="13:47">
      <c r="M427" s="357" t="s">
        <v>6674</v>
      </c>
      <c r="N427" s="1">
        <v>2616960</v>
      </c>
      <c r="O427" s="370" t="s">
        <v>6695</v>
      </c>
      <c r="P427" s="370">
        <v>509</v>
      </c>
      <c r="Q427" s="18">
        <v>2877.8520050000002</v>
      </c>
      <c r="R427" s="18">
        <f t="shared" si="58"/>
        <v>1464826.6705450001</v>
      </c>
      <c r="S427" s="370" t="s">
        <v>4975</v>
      </c>
      <c r="AB427" t="s">
        <v>25</v>
      </c>
      <c r="AJ427" s="20">
        <v>129</v>
      </c>
      <c r="AK427" s="20" t="s">
        <v>5136</v>
      </c>
      <c r="AL427" s="37">
        <v>-550000</v>
      </c>
      <c r="AM427" s="20">
        <v>5</v>
      </c>
      <c r="AN427" s="20">
        <f t="shared" si="61"/>
        <v>422</v>
      </c>
      <c r="AO427" s="20">
        <f t="shared" si="62"/>
        <v>-232100000</v>
      </c>
      <c r="AP427" s="20"/>
    </row>
    <row r="428" spans="13:47">
      <c r="M428" s="357" t="s">
        <v>6680</v>
      </c>
      <c r="N428" s="1">
        <v>253557.36216800002</v>
      </c>
      <c r="O428" s="370" t="s">
        <v>6698</v>
      </c>
      <c r="P428" s="370">
        <v>104</v>
      </c>
      <c r="Q428" s="18">
        <v>2870.0135799999998</v>
      </c>
      <c r="R428" s="18">
        <f t="shared" si="58"/>
        <v>298481.41232</v>
      </c>
      <c r="S428" s="370" t="s">
        <v>4975</v>
      </c>
      <c r="AJ428" s="20">
        <v>130</v>
      </c>
      <c r="AK428" s="20" t="s">
        <v>5141</v>
      </c>
      <c r="AL428" s="37">
        <v>-29686490</v>
      </c>
      <c r="AM428" s="20">
        <v>1</v>
      </c>
      <c r="AN428" s="20">
        <f t="shared" si="61"/>
        <v>417</v>
      </c>
      <c r="AO428" s="20">
        <f t="shared" si="62"/>
        <v>-12379266330</v>
      </c>
      <c r="AP428" s="20"/>
    </row>
    <row r="429" spans="13:47">
      <c r="M429" s="357" t="s">
        <v>6680</v>
      </c>
      <c r="N429" s="1">
        <v>13625826.882869001</v>
      </c>
      <c r="O429" s="189" t="s">
        <v>6702</v>
      </c>
      <c r="P429" s="189">
        <v>-1812</v>
      </c>
      <c r="Q429" s="190">
        <v>3015.492741</v>
      </c>
      <c r="R429" s="190">
        <f t="shared" si="58"/>
        <v>-5464072.8466919996</v>
      </c>
      <c r="S429" s="189" t="s">
        <v>6703</v>
      </c>
      <c r="AB429" t="s">
        <v>25</v>
      </c>
      <c r="AJ429" s="20">
        <v>131</v>
      </c>
      <c r="AK429" s="20" t="s">
        <v>5149</v>
      </c>
      <c r="AL429" s="37">
        <v>-9000000</v>
      </c>
      <c r="AM429" s="20">
        <v>8</v>
      </c>
      <c r="AN429" s="20">
        <f t="shared" si="61"/>
        <v>416</v>
      </c>
      <c r="AO429" s="20">
        <f t="shared" si="62"/>
        <v>-3744000000</v>
      </c>
      <c r="AP429" s="20"/>
    </row>
    <row r="430" spans="13:47">
      <c r="M430" s="357" t="s">
        <v>6682</v>
      </c>
      <c r="N430" s="1">
        <v>933193.93063399999</v>
      </c>
      <c r="O430" s="370" t="s">
        <v>6702</v>
      </c>
      <c r="P430" s="370">
        <v>-11819</v>
      </c>
      <c r="Q430" s="18">
        <v>3015.492741</v>
      </c>
      <c r="R430" s="18">
        <f t="shared" si="58"/>
        <v>-35640108.705879003</v>
      </c>
      <c r="S430" s="370" t="s">
        <v>6706</v>
      </c>
      <c r="AJ430" s="20">
        <v>132</v>
      </c>
      <c r="AK430" s="20" t="s">
        <v>5192</v>
      </c>
      <c r="AL430" s="37">
        <v>810000</v>
      </c>
      <c r="AM430" s="20">
        <v>2</v>
      </c>
      <c r="AN430" s="20">
        <f t="shared" si="61"/>
        <v>408</v>
      </c>
      <c r="AO430" s="20">
        <f t="shared" si="62"/>
        <v>330480000</v>
      </c>
      <c r="AP430" s="20"/>
    </row>
    <row r="431" spans="13:47">
      <c r="M431" s="357" t="s">
        <v>6683</v>
      </c>
      <c r="N431" s="18">
        <v>1191707.1852839999</v>
      </c>
      <c r="O431" s="370" t="s">
        <v>6702</v>
      </c>
      <c r="P431" s="370">
        <v>-120858</v>
      </c>
      <c r="Q431" s="18">
        <v>3015.492741</v>
      </c>
      <c r="R431" s="18">
        <f t="shared" si="58"/>
        <v>-364446421.691778</v>
      </c>
      <c r="S431" s="370" t="s">
        <v>6705</v>
      </c>
      <c r="AJ431" s="20">
        <v>133</v>
      </c>
      <c r="AK431" s="20" t="s">
        <v>5197</v>
      </c>
      <c r="AL431" s="37">
        <v>-5000000</v>
      </c>
      <c r="AM431" s="20">
        <v>3</v>
      </c>
      <c r="AN431" s="20">
        <f t="shared" si="61"/>
        <v>406</v>
      </c>
      <c r="AO431" s="20">
        <f t="shared" si="62"/>
        <v>-2030000000</v>
      </c>
      <c r="AP431" s="20"/>
    </row>
    <row r="432" spans="13:47">
      <c r="M432" s="357" t="s">
        <v>6684</v>
      </c>
      <c r="N432" s="1">
        <v>2538812.595222</v>
      </c>
      <c r="O432" s="370" t="s">
        <v>6707</v>
      </c>
      <c r="P432" s="370">
        <v>261</v>
      </c>
      <c r="Q432" s="18">
        <v>3015.492741</v>
      </c>
      <c r="R432" s="18">
        <f t="shared" si="58"/>
        <v>787043.60540100001</v>
      </c>
      <c r="S432" s="370" t="s">
        <v>4975</v>
      </c>
      <c r="AJ432" s="20">
        <v>134</v>
      </c>
      <c r="AK432" s="20" t="s">
        <v>5201</v>
      </c>
      <c r="AL432" s="37">
        <v>-26000000</v>
      </c>
      <c r="AM432" s="20">
        <v>0</v>
      </c>
      <c r="AN432" s="20">
        <f t="shared" si="61"/>
        <v>403</v>
      </c>
      <c r="AO432" s="20">
        <f t="shared" si="62"/>
        <v>-10478000000</v>
      </c>
      <c r="AP432" s="20"/>
    </row>
    <row r="433" spans="13:47">
      <c r="M433" s="357" t="s">
        <v>6686</v>
      </c>
      <c r="N433" s="1">
        <v>2016850.526604</v>
      </c>
      <c r="O433" s="370" t="s">
        <v>6667</v>
      </c>
      <c r="P433" s="370">
        <v>8290</v>
      </c>
      <c r="Q433" s="18">
        <v>3015.492741</v>
      </c>
      <c r="R433" s="18">
        <f t="shared" si="58"/>
        <v>24998434.822889999</v>
      </c>
      <c r="S433" s="370" t="s">
        <v>6711</v>
      </c>
      <c r="AJ433" s="172">
        <v>135</v>
      </c>
      <c r="AK433" s="172" t="s">
        <v>5201</v>
      </c>
      <c r="AL433" s="166">
        <v>-26000000</v>
      </c>
      <c r="AM433" s="172">
        <v>1</v>
      </c>
      <c r="AN433" s="172">
        <f t="shared" si="61"/>
        <v>403</v>
      </c>
      <c r="AO433" s="172">
        <f t="shared" si="62"/>
        <v>-10478000000</v>
      </c>
      <c r="AP433" s="172"/>
    </row>
    <row r="434" spans="13:47">
      <c r="M434" s="357" t="s">
        <v>6688</v>
      </c>
      <c r="N434" s="1">
        <v>130754.575732</v>
      </c>
      <c r="O434" s="370" t="s">
        <v>6716</v>
      </c>
      <c r="P434" s="370">
        <v>19234</v>
      </c>
      <c r="Q434" s="18">
        <v>3015.492741</v>
      </c>
      <c r="R434" s="18">
        <f t="shared" ref="R434:R504" si="63">P434*Q434</f>
        <v>57999987.380393997</v>
      </c>
      <c r="S434" s="370" t="s">
        <v>6711</v>
      </c>
      <c r="AJ434" s="20">
        <v>136</v>
      </c>
      <c r="AK434" s="20" t="s">
        <v>5205</v>
      </c>
      <c r="AL434" s="37">
        <v>-81800000</v>
      </c>
      <c r="AM434" s="20">
        <v>0</v>
      </c>
      <c r="AN434" s="20">
        <f t="shared" si="61"/>
        <v>402</v>
      </c>
      <c r="AO434" s="20">
        <f t="shared" si="62"/>
        <v>-32883600000</v>
      </c>
      <c r="AP434" s="20"/>
    </row>
    <row r="435" spans="13:47">
      <c r="M435" s="357" t="s">
        <v>6689</v>
      </c>
      <c r="N435" s="1">
        <v>153756.41398000001</v>
      </c>
      <c r="O435" s="370" t="s">
        <v>6717</v>
      </c>
      <c r="P435" s="370">
        <v>242</v>
      </c>
      <c r="Q435" s="18">
        <v>2808.4181440000002</v>
      </c>
      <c r="R435" s="18">
        <f t="shared" si="63"/>
        <v>679637.190848</v>
      </c>
      <c r="S435" s="370" t="s">
        <v>4975</v>
      </c>
      <c r="AJ435" s="172">
        <v>137</v>
      </c>
      <c r="AK435" s="172" t="s">
        <v>5205</v>
      </c>
      <c r="AL435" s="166">
        <v>-110000000</v>
      </c>
      <c r="AM435" s="172">
        <v>1</v>
      </c>
      <c r="AN435" s="172">
        <f t="shared" si="61"/>
        <v>402</v>
      </c>
      <c r="AO435" s="172">
        <f t="shared" si="62"/>
        <v>-44220000000</v>
      </c>
      <c r="AP435" s="172"/>
      <c r="AS435" t="s">
        <v>25</v>
      </c>
    </row>
    <row r="436" spans="13:47">
      <c r="M436" s="357" t="s">
        <v>6694</v>
      </c>
      <c r="N436" s="1">
        <v>549780</v>
      </c>
      <c r="O436" s="370" t="s">
        <v>6720</v>
      </c>
      <c r="P436" s="370">
        <v>141</v>
      </c>
      <c r="Q436" s="18">
        <v>2858.5482630000001</v>
      </c>
      <c r="R436" s="18">
        <f t="shared" si="63"/>
        <v>403055.30508300004</v>
      </c>
      <c r="S436" s="370" t="s">
        <v>4975</v>
      </c>
      <c r="AJ436" s="20">
        <v>138</v>
      </c>
      <c r="AK436" s="20" t="s">
        <v>5206</v>
      </c>
      <c r="AL436" s="37">
        <v>-34000000</v>
      </c>
      <c r="AM436" s="20">
        <v>0</v>
      </c>
      <c r="AN436" s="20">
        <f t="shared" si="61"/>
        <v>401</v>
      </c>
      <c r="AO436" s="20">
        <f t="shared" si="62"/>
        <v>-13634000000</v>
      </c>
      <c r="AP436" s="20"/>
    </row>
    <row r="437" spans="13:47">
      <c r="M437" s="357" t="s">
        <v>6695</v>
      </c>
      <c r="N437" s="1">
        <v>1464826.6705450001</v>
      </c>
      <c r="O437" s="370" t="s">
        <v>6727</v>
      </c>
      <c r="P437" s="370">
        <v>171</v>
      </c>
      <c r="Q437" s="18">
        <v>2790.5885250000001</v>
      </c>
      <c r="R437" s="18">
        <f t="shared" si="63"/>
        <v>477190.63777500001</v>
      </c>
      <c r="S437" s="370" t="s">
        <v>4975</v>
      </c>
      <c r="AJ437" s="97">
        <v>139</v>
      </c>
      <c r="AK437" s="97" t="s">
        <v>5206</v>
      </c>
      <c r="AL437" s="131">
        <v>-23900000</v>
      </c>
      <c r="AM437" s="97">
        <v>5</v>
      </c>
      <c r="AN437" s="97">
        <f t="shared" ref="AN437:AN442" si="64">AM437+AN438</f>
        <v>401</v>
      </c>
      <c r="AO437" s="97">
        <f t="shared" ref="AO437:AO442" si="65">AL437*AN437</f>
        <v>-9583900000</v>
      </c>
      <c r="AP437" s="97"/>
    </row>
    <row r="438" spans="13:47">
      <c r="M438" s="357" t="s">
        <v>6698</v>
      </c>
      <c r="N438" s="1">
        <v>298481.41232</v>
      </c>
      <c r="O438" s="370" t="s">
        <v>6729</v>
      </c>
      <c r="P438" s="370">
        <v>324</v>
      </c>
      <c r="Q438" s="18">
        <v>2823.8782249999999</v>
      </c>
      <c r="R438" s="18">
        <f t="shared" si="63"/>
        <v>914936.54489999998</v>
      </c>
      <c r="S438" s="370" t="s">
        <v>4975</v>
      </c>
      <c r="AJ438" s="20">
        <v>140</v>
      </c>
      <c r="AK438" s="20" t="s">
        <v>5219</v>
      </c>
      <c r="AL438" s="37">
        <v>1000000</v>
      </c>
      <c r="AM438" s="20">
        <v>0</v>
      </c>
      <c r="AN438" s="20">
        <f t="shared" si="64"/>
        <v>396</v>
      </c>
      <c r="AO438" s="20">
        <f t="shared" si="65"/>
        <v>396000000</v>
      </c>
      <c r="AP438" s="20"/>
    </row>
    <row r="439" spans="13:47">
      <c r="M439" s="357" t="s">
        <v>6702</v>
      </c>
      <c r="N439" s="1">
        <v>-364446421.691778</v>
      </c>
      <c r="O439" s="370" t="s">
        <v>6730</v>
      </c>
      <c r="P439" s="370">
        <v>123</v>
      </c>
      <c r="Q439" s="18">
        <v>2832.4637769999999</v>
      </c>
      <c r="R439" s="18">
        <f t="shared" si="63"/>
        <v>348393.04457099998</v>
      </c>
      <c r="S439" s="370" t="s">
        <v>4975</v>
      </c>
      <c r="AB439" t="s">
        <v>25</v>
      </c>
      <c r="AJ439" s="97">
        <v>141</v>
      </c>
      <c r="AK439" s="97" t="s">
        <v>5219</v>
      </c>
      <c r="AL439" s="131">
        <v>1000000</v>
      </c>
      <c r="AM439" s="97">
        <v>4</v>
      </c>
      <c r="AN439" s="97">
        <f t="shared" si="64"/>
        <v>396</v>
      </c>
      <c r="AO439" s="97">
        <f t="shared" si="65"/>
        <v>396000000</v>
      </c>
      <c r="AP439" s="97"/>
      <c r="AU439" t="s">
        <v>25</v>
      </c>
    </row>
    <row r="440" spans="13:47">
      <c r="M440" s="357" t="s">
        <v>6707</v>
      </c>
      <c r="N440" s="1">
        <v>787043.60540100001</v>
      </c>
      <c r="O440" s="370" t="s">
        <v>6739</v>
      </c>
      <c r="P440" s="370">
        <v>252</v>
      </c>
      <c r="Q440" s="18">
        <v>2859.492174</v>
      </c>
      <c r="R440" s="18">
        <f t="shared" si="63"/>
        <v>720592.02784799994</v>
      </c>
      <c r="S440" s="370" t="s">
        <v>4975</v>
      </c>
      <c r="AJ440" s="20">
        <v>142</v>
      </c>
      <c r="AK440" s="20" t="s">
        <v>5223</v>
      </c>
      <c r="AL440" s="37">
        <v>400000</v>
      </c>
      <c r="AM440" s="20">
        <v>0</v>
      </c>
      <c r="AN440" s="20">
        <f t="shared" si="64"/>
        <v>392</v>
      </c>
      <c r="AO440" s="20">
        <f t="shared" si="65"/>
        <v>156800000</v>
      </c>
      <c r="AP440" s="20"/>
    </row>
    <row r="441" spans="13:47">
      <c r="M441" s="357" t="s">
        <v>6667</v>
      </c>
      <c r="N441" s="1">
        <v>25000000</v>
      </c>
      <c r="O441" s="370" t="s">
        <v>6740</v>
      </c>
      <c r="P441" s="370">
        <v>301</v>
      </c>
      <c r="Q441" s="18">
        <v>2890.4368220000001</v>
      </c>
      <c r="R441" s="18">
        <f t="shared" si="63"/>
        <v>870021.48342200008</v>
      </c>
      <c r="S441" s="370" t="s">
        <v>4975</v>
      </c>
      <c r="AA441" t="s">
        <v>25</v>
      </c>
      <c r="AB441" t="s">
        <v>25</v>
      </c>
      <c r="AJ441" s="97">
        <v>143</v>
      </c>
      <c r="AK441" s="97" t="s">
        <v>5223</v>
      </c>
      <c r="AL441" s="131">
        <v>400000</v>
      </c>
      <c r="AM441" s="97">
        <v>35</v>
      </c>
      <c r="AN441" s="97">
        <f t="shared" si="64"/>
        <v>392</v>
      </c>
      <c r="AO441" s="97">
        <f t="shared" si="65"/>
        <v>156800000</v>
      </c>
      <c r="AP441" s="97"/>
    </row>
    <row r="442" spans="13:47">
      <c r="M442" s="357" t="s">
        <v>6716</v>
      </c>
      <c r="N442" s="1">
        <v>57999987.380393997</v>
      </c>
      <c r="O442" s="370" t="s">
        <v>6741</v>
      </c>
      <c r="P442" s="370">
        <v>132</v>
      </c>
      <c r="Q442" s="18">
        <v>2871.4281299999998</v>
      </c>
      <c r="R442" s="18">
        <f t="shared" si="63"/>
        <v>379028.51315999997</v>
      </c>
      <c r="S442" s="370" t="s">
        <v>4975</v>
      </c>
      <c r="AB442" t="s">
        <v>25</v>
      </c>
      <c r="AJ442" s="20">
        <v>144</v>
      </c>
      <c r="AK442" s="20" t="s">
        <v>5257</v>
      </c>
      <c r="AL442" s="37">
        <v>3000000</v>
      </c>
      <c r="AM442" s="20">
        <v>0</v>
      </c>
      <c r="AN442" s="20">
        <f t="shared" si="64"/>
        <v>357</v>
      </c>
      <c r="AO442" s="20">
        <f t="shared" si="65"/>
        <v>1071000000</v>
      </c>
      <c r="AP442" s="20"/>
    </row>
    <row r="443" spans="13:47">
      <c r="M443" s="357" t="s">
        <v>6717</v>
      </c>
      <c r="N443" s="1">
        <v>679637.190848</v>
      </c>
      <c r="O443" s="370" t="s">
        <v>6742</v>
      </c>
      <c r="P443" s="370">
        <v>257</v>
      </c>
      <c r="Q443" s="18">
        <v>2829.3778179999999</v>
      </c>
      <c r="R443" s="18">
        <f t="shared" si="63"/>
        <v>727150.09922600002</v>
      </c>
      <c r="S443" s="370" t="s">
        <v>4975</v>
      </c>
      <c r="AB443" t="s">
        <v>25</v>
      </c>
      <c r="AJ443" s="97">
        <v>145</v>
      </c>
      <c r="AK443" s="97" t="s">
        <v>5257</v>
      </c>
      <c r="AL443" s="131">
        <v>2725000</v>
      </c>
      <c r="AM443" s="97">
        <v>19</v>
      </c>
      <c r="AN443" s="97">
        <f t="shared" ref="AN443:AN453" si="66">AM443+AN444</f>
        <v>357</v>
      </c>
      <c r="AO443" s="97">
        <f t="shared" ref="AO443:AO453" si="67">AL443*AN443</f>
        <v>972825000</v>
      </c>
      <c r="AP443" s="97"/>
    </row>
    <row r="444" spans="13:47">
      <c r="M444" s="357" t="s">
        <v>6720</v>
      </c>
      <c r="N444" s="1">
        <v>403055.30508300004</v>
      </c>
      <c r="O444" s="370" t="s">
        <v>6745</v>
      </c>
      <c r="P444" s="370">
        <v>3580</v>
      </c>
      <c r="Q444" s="18">
        <v>2792.7543000000001</v>
      </c>
      <c r="R444" s="18">
        <f t="shared" si="63"/>
        <v>9998060.3939999994</v>
      </c>
      <c r="S444" s="370" t="s">
        <v>6746</v>
      </c>
      <c r="AB444" t="s">
        <v>25</v>
      </c>
      <c r="AJ444" s="97">
        <v>146</v>
      </c>
      <c r="AK444" s="97" t="s">
        <v>5158</v>
      </c>
      <c r="AL444" s="131">
        <v>-8644090</v>
      </c>
      <c r="AM444" s="97">
        <v>0</v>
      </c>
      <c r="AN444" s="97">
        <f t="shared" si="66"/>
        <v>338</v>
      </c>
      <c r="AO444" s="97">
        <f t="shared" si="67"/>
        <v>-2921702420</v>
      </c>
      <c r="AP444" s="97" t="s">
        <v>4615</v>
      </c>
      <c r="AT444" t="s">
        <v>25</v>
      </c>
    </row>
    <row r="445" spans="13:47">
      <c r="M445" s="357" t="s">
        <v>6727</v>
      </c>
      <c r="N445" s="1">
        <v>477190.63777500001</v>
      </c>
      <c r="O445" s="370" t="s">
        <v>6745</v>
      </c>
      <c r="P445" s="370">
        <v>-3580</v>
      </c>
      <c r="Q445" s="18">
        <v>2792.7543000000001</v>
      </c>
      <c r="R445" s="18">
        <f t="shared" si="63"/>
        <v>-9998060.3939999994</v>
      </c>
      <c r="S445" s="370" t="s">
        <v>6747</v>
      </c>
      <c r="AJ445" s="20">
        <v>147</v>
      </c>
      <c r="AK445" s="20" t="s">
        <v>5158</v>
      </c>
      <c r="AL445" s="37">
        <v>-65461942</v>
      </c>
      <c r="AM445" s="20">
        <v>1</v>
      </c>
      <c r="AN445" s="20">
        <f t="shared" si="66"/>
        <v>338</v>
      </c>
      <c r="AO445" s="20">
        <f t="shared" si="67"/>
        <v>-22126136396</v>
      </c>
      <c r="AP445" s="20" t="s">
        <v>4615</v>
      </c>
    </row>
    <row r="446" spans="13:47">
      <c r="M446" s="357" t="s">
        <v>6729</v>
      </c>
      <c r="N446" s="1">
        <v>914936.54489999998</v>
      </c>
      <c r="O446" s="370" t="s">
        <v>6779</v>
      </c>
      <c r="P446" s="370">
        <v>3891</v>
      </c>
      <c r="Q446" s="18">
        <v>2964.3332270000001</v>
      </c>
      <c r="R446" s="18">
        <f t="shared" si="63"/>
        <v>11534220.586257</v>
      </c>
      <c r="S446" s="370" t="s">
        <v>6780</v>
      </c>
      <c r="AC446" t="s">
        <v>25</v>
      </c>
      <c r="AJ446" s="20">
        <v>148</v>
      </c>
      <c r="AK446" s="20" t="s">
        <v>5279</v>
      </c>
      <c r="AL446" s="37">
        <v>35000000</v>
      </c>
      <c r="AM446" s="20">
        <v>15</v>
      </c>
      <c r="AN446" s="20">
        <f t="shared" si="66"/>
        <v>337</v>
      </c>
      <c r="AO446" s="20">
        <f t="shared" si="67"/>
        <v>11795000000</v>
      </c>
      <c r="AP446" s="20"/>
      <c r="AS446" t="s">
        <v>25</v>
      </c>
    </row>
    <row r="447" spans="13:47">
      <c r="M447" s="357" t="s">
        <v>6730</v>
      </c>
      <c r="N447" s="1">
        <v>348393.04457099998</v>
      </c>
      <c r="O447" s="370" t="s">
        <v>6785</v>
      </c>
      <c r="P447" s="370">
        <v>2861</v>
      </c>
      <c r="Q447" s="18">
        <v>3033.0118830000001</v>
      </c>
      <c r="R447" s="18">
        <f t="shared" si="63"/>
        <v>8677446.9972630013</v>
      </c>
      <c r="S447" s="370" t="s">
        <v>4975</v>
      </c>
      <c r="AJ447" s="97">
        <v>149</v>
      </c>
      <c r="AK447" s="97" t="s">
        <v>5296</v>
      </c>
      <c r="AL447" s="131">
        <v>1400000</v>
      </c>
      <c r="AM447" s="97">
        <v>0</v>
      </c>
      <c r="AN447" s="97">
        <f t="shared" si="66"/>
        <v>322</v>
      </c>
      <c r="AO447" s="97">
        <f t="shared" si="67"/>
        <v>450800000</v>
      </c>
      <c r="AP447" s="97"/>
    </row>
    <row r="448" spans="13:47">
      <c r="M448" s="357" t="s">
        <v>6739</v>
      </c>
      <c r="N448" s="1">
        <v>720592.02784799994</v>
      </c>
      <c r="O448" s="370" t="s">
        <v>6786</v>
      </c>
      <c r="P448" s="370">
        <v>1284</v>
      </c>
      <c r="Q448" s="18">
        <v>3029.0620829999998</v>
      </c>
      <c r="R448" s="18">
        <f t="shared" si="63"/>
        <v>3889315.7145719999</v>
      </c>
      <c r="S448" s="370" t="s">
        <v>4975</v>
      </c>
      <c r="AJ448" s="20">
        <v>150</v>
      </c>
      <c r="AK448" s="20" t="s">
        <v>5296</v>
      </c>
      <c r="AL448" s="37">
        <v>1600000</v>
      </c>
      <c r="AM448" s="20">
        <v>1</v>
      </c>
      <c r="AN448" s="20">
        <f t="shared" si="66"/>
        <v>322</v>
      </c>
      <c r="AO448" s="20">
        <f t="shared" si="67"/>
        <v>515200000</v>
      </c>
      <c r="AP448" s="20"/>
    </row>
    <row r="449" spans="13:46">
      <c r="M449" s="357" t="s">
        <v>6740</v>
      </c>
      <c r="N449" s="1">
        <v>870021.48342200008</v>
      </c>
      <c r="O449" s="370" t="s">
        <v>6800</v>
      </c>
      <c r="P449" s="370">
        <v>2021</v>
      </c>
      <c r="Q449" s="18">
        <v>3344.9430510000002</v>
      </c>
      <c r="R449" s="18">
        <f t="shared" si="63"/>
        <v>6760129.9060710007</v>
      </c>
      <c r="S449" s="370" t="s">
        <v>4975</v>
      </c>
      <c r="AJ449" s="97">
        <v>151</v>
      </c>
      <c r="AK449" s="97" t="s">
        <v>5299</v>
      </c>
      <c r="AL449" s="131">
        <v>600000</v>
      </c>
      <c r="AM449" s="97">
        <v>0</v>
      </c>
      <c r="AN449" s="97">
        <f t="shared" si="66"/>
        <v>321</v>
      </c>
      <c r="AO449" s="97">
        <f t="shared" si="67"/>
        <v>192600000</v>
      </c>
      <c r="AP449" s="97" t="s">
        <v>5301</v>
      </c>
      <c r="AT449" t="s">
        <v>25</v>
      </c>
    </row>
    <row r="450" spans="13:46">
      <c r="M450" s="357" t="s">
        <v>6741</v>
      </c>
      <c r="N450" s="1">
        <v>379028.51315999997</v>
      </c>
      <c r="O450" s="370" t="s">
        <v>6802</v>
      </c>
      <c r="P450" s="370">
        <v>2934</v>
      </c>
      <c r="Q450" s="18">
        <v>3379.9579100000001</v>
      </c>
      <c r="R450" s="18">
        <f t="shared" si="63"/>
        <v>9916796.5079399999</v>
      </c>
      <c r="S450" s="370" t="s">
        <v>4975</v>
      </c>
      <c r="AJ450" s="20">
        <v>152</v>
      </c>
      <c r="AK450" s="20" t="s">
        <v>5299</v>
      </c>
      <c r="AL450" s="37">
        <v>600000</v>
      </c>
      <c r="AM450" s="20">
        <v>9</v>
      </c>
      <c r="AN450" s="20">
        <f t="shared" si="66"/>
        <v>321</v>
      </c>
      <c r="AO450" s="20">
        <f t="shared" si="67"/>
        <v>192600000</v>
      </c>
      <c r="AP450" s="20" t="s">
        <v>5301</v>
      </c>
    </row>
    <row r="451" spans="13:46">
      <c r="M451" s="357" t="s">
        <v>6742</v>
      </c>
      <c r="N451" s="1">
        <v>727150.09922600002</v>
      </c>
      <c r="O451" s="370" t="s">
        <v>6804</v>
      </c>
      <c r="P451" s="370">
        <v>275</v>
      </c>
      <c r="Q451" s="18">
        <v>3522.6723659999998</v>
      </c>
      <c r="R451" s="18">
        <f t="shared" si="63"/>
        <v>968734.90064999997</v>
      </c>
      <c r="S451" s="370" t="s">
        <v>4975</v>
      </c>
      <c r="AH451" t="s">
        <v>25</v>
      </c>
      <c r="AJ451" s="20">
        <v>153</v>
      </c>
      <c r="AK451" s="20" t="s">
        <v>5307</v>
      </c>
      <c r="AL451" s="37">
        <v>20000000</v>
      </c>
      <c r="AM451" s="20">
        <v>23</v>
      </c>
      <c r="AN451" s="20">
        <f t="shared" si="66"/>
        <v>312</v>
      </c>
      <c r="AO451" s="20">
        <f t="shared" si="67"/>
        <v>6240000000</v>
      </c>
      <c r="AP451" s="20" t="s">
        <v>5313</v>
      </c>
    </row>
    <row r="452" spans="13:46">
      <c r="M452" s="357" t="s">
        <v>6779</v>
      </c>
      <c r="N452" s="1">
        <v>11534220.586257</v>
      </c>
      <c r="O452" s="370" t="s">
        <v>6806</v>
      </c>
      <c r="P452" s="370">
        <v>211</v>
      </c>
      <c r="Q452" s="18">
        <v>3611.0870030000001</v>
      </c>
      <c r="R452" s="18">
        <f t="shared" si="63"/>
        <v>761939.35763300001</v>
      </c>
      <c r="S452" s="370" t="s">
        <v>4975</v>
      </c>
      <c r="AC452" t="s">
        <v>25</v>
      </c>
      <c r="AJ452" s="20">
        <v>154</v>
      </c>
      <c r="AK452" s="20" t="s">
        <v>5333</v>
      </c>
      <c r="AL452" s="37">
        <v>-46183500</v>
      </c>
      <c r="AM452" s="20">
        <v>0</v>
      </c>
      <c r="AN452" s="20">
        <f t="shared" si="66"/>
        <v>289</v>
      </c>
      <c r="AO452" s="20">
        <f t="shared" si="67"/>
        <v>-13347031500</v>
      </c>
      <c r="AP452" s="20" t="s">
        <v>4733</v>
      </c>
    </row>
    <row r="453" spans="13:46">
      <c r="M453" s="357" t="s">
        <v>6785</v>
      </c>
      <c r="N453" s="1">
        <v>8677446.9972630013</v>
      </c>
      <c r="O453" s="370" t="s">
        <v>6807</v>
      </c>
      <c r="P453" s="370">
        <v>957</v>
      </c>
      <c r="Q453" s="18">
        <v>3795.0145109999999</v>
      </c>
      <c r="R453" s="18">
        <f t="shared" si="63"/>
        <v>3631828.8870270001</v>
      </c>
      <c r="S453" s="370" t="s">
        <v>4975</v>
      </c>
      <c r="AJ453" s="97">
        <v>155</v>
      </c>
      <c r="AK453" s="97" t="s">
        <v>5333</v>
      </c>
      <c r="AL453" s="131">
        <v>-1812800</v>
      </c>
      <c r="AM453" s="97">
        <v>2</v>
      </c>
      <c r="AN453" s="97">
        <f t="shared" si="66"/>
        <v>289</v>
      </c>
      <c r="AO453" s="97">
        <f t="shared" si="67"/>
        <v>-523899200</v>
      </c>
      <c r="AP453" s="97" t="s">
        <v>4733</v>
      </c>
    </row>
    <row r="454" spans="13:46">
      <c r="M454" s="357" t="s">
        <v>6786</v>
      </c>
      <c r="N454" s="1">
        <v>3889315.7145719999</v>
      </c>
      <c r="O454" s="370" t="s">
        <v>6807</v>
      </c>
      <c r="P454" s="370">
        <v>93740</v>
      </c>
      <c r="Q454" s="18">
        <v>3795</v>
      </c>
      <c r="R454" s="18">
        <f t="shared" si="63"/>
        <v>355743300</v>
      </c>
      <c r="S454" s="370" t="s">
        <v>6836</v>
      </c>
      <c r="AJ454" s="20">
        <v>156</v>
      </c>
      <c r="AK454" s="20" t="s">
        <v>5337</v>
      </c>
      <c r="AL454" s="37">
        <v>90000</v>
      </c>
      <c r="AM454" s="20">
        <v>0</v>
      </c>
      <c r="AN454" s="20">
        <f t="shared" ref="AN454:AN468" si="68">AM454+AN455</f>
        <v>287</v>
      </c>
      <c r="AO454" s="20">
        <f t="shared" ref="AO454:AO468" si="69">AL454*AN454</f>
        <v>25830000</v>
      </c>
      <c r="AP454" s="20"/>
    </row>
    <row r="455" spans="13:46">
      <c r="M455" s="357" t="s">
        <v>6800</v>
      </c>
      <c r="N455" s="1">
        <v>6760129.9060710007</v>
      </c>
      <c r="O455" s="370" t="s">
        <v>6807</v>
      </c>
      <c r="P455" s="370">
        <v>286762</v>
      </c>
      <c r="Q455" s="18">
        <v>3795</v>
      </c>
      <c r="R455" s="18">
        <f t="shared" si="63"/>
        <v>1088261790</v>
      </c>
      <c r="S455" s="370" t="s">
        <v>5281</v>
      </c>
      <c r="AJ455" s="97">
        <v>157</v>
      </c>
      <c r="AK455" s="97" t="s">
        <v>5337</v>
      </c>
      <c r="AL455" s="131">
        <v>60000</v>
      </c>
      <c r="AM455" s="97">
        <v>5</v>
      </c>
      <c r="AN455" s="97">
        <f t="shared" si="68"/>
        <v>287</v>
      </c>
      <c r="AO455" s="97">
        <f t="shared" si="69"/>
        <v>17220000</v>
      </c>
      <c r="AP455" s="97"/>
    </row>
    <row r="456" spans="13:46">
      <c r="M456" s="357" t="s">
        <v>6802</v>
      </c>
      <c r="N456" s="1">
        <v>9916796.5079399999</v>
      </c>
      <c r="O456" s="370" t="s">
        <v>6812</v>
      </c>
      <c r="P456" s="370">
        <v>508</v>
      </c>
      <c r="Q456" s="18">
        <v>3538.9250430000002</v>
      </c>
      <c r="R456" s="18">
        <f t="shared" si="63"/>
        <v>1797773.921844</v>
      </c>
      <c r="S456" s="370" t="s">
        <v>4975</v>
      </c>
      <c r="AJ456" s="20">
        <v>158</v>
      </c>
      <c r="AK456" s="20" t="s">
        <v>5342</v>
      </c>
      <c r="AL456" s="37">
        <v>50000000</v>
      </c>
      <c r="AM456" s="20">
        <v>29</v>
      </c>
      <c r="AN456" s="20">
        <f t="shared" si="68"/>
        <v>282</v>
      </c>
      <c r="AO456" s="20">
        <f t="shared" si="69"/>
        <v>14100000000</v>
      </c>
      <c r="AP456" s="20" t="s">
        <v>5344</v>
      </c>
    </row>
    <row r="457" spans="13:46">
      <c r="M457" s="357" t="s">
        <v>6804</v>
      </c>
      <c r="N457" s="1">
        <v>968734.90064999997</v>
      </c>
      <c r="O457" s="370" t="s">
        <v>6815</v>
      </c>
      <c r="P457" s="370">
        <v>1223</v>
      </c>
      <c r="Q457" s="18">
        <v>3513.6217029999998</v>
      </c>
      <c r="R457" s="18">
        <f t="shared" si="63"/>
        <v>4297159.3427689997</v>
      </c>
      <c r="S457" s="370" t="s">
        <v>4975</v>
      </c>
      <c r="AJ457" s="20">
        <v>159</v>
      </c>
      <c r="AK457" s="20" t="s">
        <v>5394</v>
      </c>
      <c r="AL457" s="37">
        <v>100000</v>
      </c>
      <c r="AM457" s="20">
        <v>1</v>
      </c>
      <c r="AN457" s="20">
        <f t="shared" si="68"/>
        <v>253</v>
      </c>
      <c r="AO457" s="20">
        <f t="shared" si="69"/>
        <v>25300000</v>
      </c>
      <c r="AP457" s="20"/>
    </row>
    <row r="458" spans="13:46">
      <c r="M458" s="357" t="s">
        <v>6806</v>
      </c>
      <c r="N458" s="1">
        <v>761939.35763300001</v>
      </c>
      <c r="O458" s="370" t="s">
        <v>6817</v>
      </c>
      <c r="P458" s="370">
        <v>1339</v>
      </c>
      <c r="Q458" s="18">
        <v>3559.1614199999999</v>
      </c>
      <c r="R458" s="18">
        <f t="shared" si="63"/>
        <v>4765717.1413799999</v>
      </c>
      <c r="S458" s="370" t="s">
        <v>4975</v>
      </c>
      <c r="AB458" t="s">
        <v>25</v>
      </c>
      <c r="AJ458" s="97">
        <v>160</v>
      </c>
      <c r="AK458" s="97" t="s">
        <v>5384</v>
      </c>
      <c r="AL458" s="131">
        <v>150000</v>
      </c>
      <c r="AM458" s="97">
        <v>0</v>
      </c>
      <c r="AN458" s="97">
        <f t="shared" si="68"/>
        <v>252</v>
      </c>
      <c r="AO458" s="97">
        <f t="shared" si="69"/>
        <v>37800000</v>
      </c>
      <c r="AP458" s="97"/>
    </row>
    <row r="459" spans="13:46">
      <c r="M459" s="357" t="s">
        <v>6807</v>
      </c>
      <c r="N459" s="1">
        <v>3631828.8870270001</v>
      </c>
      <c r="O459" s="370" t="s">
        <v>6821</v>
      </c>
      <c r="P459" s="370">
        <v>1019</v>
      </c>
      <c r="Q459" s="18">
        <v>3645.9982620000001</v>
      </c>
      <c r="R459" s="18">
        <f t="shared" si="63"/>
        <v>3715272.2289780001</v>
      </c>
      <c r="S459" s="370" t="s">
        <v>4975</v>
      </c>
      <c r="AB459" t="s">
        <v>25</v>
      </c>
      <c r="AJ459" s="20">
        <v>161</v>
      </c>
      <c r="AK459" s="20" t="s">
        <v>5384</v>
      </c>
      <c r="AL459" s="37">
        <v>-683050</v>
      </c>
      <c r="AM459" s="20">
        <v>7</v>
      </c>
      <c r="AN459" s="20">
        <f t="shared" si="68"/>
        <v>252</v>
      </c>
      <c r="AO459" s="20">
        <f t="shared" si="69"/>
        <v>-172128600</v>
      </c>
      <c r="AP459" s="20" t="s">
        <v>5397</v>
      </c>
    </row>
    <row r="460" spans="13:46">
      <c r="M460" s="357" t="s">
        <v>6812</v>
      </c>
      <c r="N460" s="1">
        <v>1797773.921844</v>
      </c>
      <c r="O460" s="370" t="s">
        <v>6822</v>
      </c>
      <c r="P460" s="370">
        <v>2384</v>
      </c>
      <c r="Q460" s="18">
        <v>3595.7232680000002</v>
      </c>
      <c r="R460" s="18">
        <f t="shared" si="63"/>
        <v>8572204.2709120009</v>
      </c>
      <c r="S460" s="370" t="s">
        <v>4975</v>
      </c>
      <c r="AA460" t="s">
        <v>6801</v>
      </c>
      <c r="AB460" t="s">
        <v>25</v>
      </c>
      <c r="AJ460" s="97">
        <v>162</v>
      </c>
      <c r="AK460" s="97" t="s">
        <v>5405</v>
      </c>
      <c r="AL460" s="131">
        <v>200000</v>
      </c>
      <c r="AM460" s="97">
        <v>7</v>
      </c>
      <c r="AN460" s="97">
        <f t="shared" si="68"/>
        <v>245</v>
      </c>
      <c r="AO460" s="97">
        <f t="shared" si="69"/>
        <v>49000000</v>
      </c>
      <c r="AP460" s="97"/>
    </row>
    <row r="461" spans="13:46">
      <c r="M461" s="357" t="s">
        <v>6815</v>
      </c>
      <c r="N461" s="1">
        <v>4297159.3427689997</v>
      </c>
      <c r="O461" s="370" t="s">
        <v>6822</v>
      </c>
      <c r="P461" s="370">
        <v>361</v>
      </c>
      <c r="Q461" s="18">
        <v>3596</v>
      </c>
      <c r="R461" s="18">
        <f t="shared" si="63"/>
        <v>1298156</v>
      </c>
      <c r="S461" s="370" t="s">
        <v>5281</v>
      </c>
      <c r="AB461" t="s">
        <v>25</v>
      </c>
      <c r="AJ461" s="97">
        <v>163</v>
      </c>
      <c r="AK461" s="97" t="s">
        <v>5408</v>
      </c>
      <c r="AL461" s="131">
        <v>150000</v>
      </c>
      <c r="AM461" s="97">
        <v>5</v>
      </c>
      <c r="AN461" s="97">
        <f t="shared" si="68"/>
        <v>238</v>
      </c>
      <c r="AO461" s="97">
        <f t="shared" si="69"/>
        <v>35700000</v>
      </c>
      <c r="AP461" s="97"/>
    </row>
    <row r="462" spans="13:46">
      <c r="M462" s="357" t="s">
        <v>6817</v>
      </c>
      <c r="N462" s="1">
        <v>4765717.1413799999</v>
      </c>
      <c r="O462" s="370" t="s">
        <v>6823</v>
      </c>
      <c r="P462" s="370">
        <v>1369</v>
      </c>
      <c r="Q462" s="18">
        <v>3654.9096880000002</v>
      </c>
      <c r="R462" s="18">
        <f t="shared" si="63"/>
        <v>5003571.3628719999</v>
      </c>
      <c r="S462" s="370" t="s">
        <v>4975</v>
      </c>
      <c r="AA462" t="s">
        <v>25</v>
      </c>
      <c r="AB462" t="s">
        <v>25</v>
      </c>
      <c r="AJ462" s="20">
        <v>164</v>
      </c>
      <c r="AK462" s="20" t="s">
        <v>5411</v>
      </c>
      <c r="AL462" s="37">
        <v>320000</v>
      </c>
      <c r="AM462" s="20">
        <v>2</v>
      </c>
      <c r="AN462" s="20">
        <f t="shared" si="68"/>
        <v>233</v>
      </c>
      <c r="AO462" s="20">
        <f t="shared" si="69"/>
        <v>74560000</v>
      </c>
      <c r="AP462" s="20"/>
    </row>
    <row r="463" spans="13:46">
      <c r="M463" s="357" t="s">
        <v>6821</v>
      </c>
      <c r="N463" s="1">
        <v>3715272.2289780001</v>
      </c>
      <c r="O463" s="370" t="s">
        <v>6827</v>
      </c>
      <c r="P463" s="370">
        <v>1315</v>
      </c>
      <c r="Q463" s="18">
        <v>3660.67461</v>
      </c>
      <c r="R463" s="18">
        <f t="shared" si="63"/>
        <v>4813787.1121500004</v>
      </c>
      <c r="S463" s="370" t="s">
        <v>4975</v>
      </c>
      <c r="AB463" t="s">
        <v>25</v>
      </c>
      <c r="AJ463" s="20">
        <v>165</v>
      </c>
      <c r="AK463" s="20" t="s">
        <v>5412</v>
      </c>
      <c r="AL463" s="37">
        <v>200000</v>
      </c>
      <c r="AM463" s="20">
        <v>29</v>
      </c>
      <c r="AN463" s="20">
        <f t="shared" si="68"/>
        <v>231</v>
      </c>
      <c r="AO463" s="20">
        <f t="shared" si="69"/>
        <v>46200000</v>
      </c>
      <c r="AP463" s="20"/>
    </row>
    <row r="464" spans="13:46">
      <c r="M464" s="357" t="s">
        <v>6822</v>
      </c>
      <c r="N464" s="18">
        <v>8572204.2709120009</v>
      </c>
      <c r="O464" s="370" t="s">
        <v>6827</v>
      </c>
      <c r="P464" s="370">
        <v>12078</v>
      </c>
      <c r="Q464" s="18">
        <v>3660.67461</v>
      </c>
      <c r="R464" s="18">
        <f t="shared" si="63"/>
        <v>44213627.939580001</v>
      </c>
      <c r="S464" s="370" t="s">
        <v>6828</v>
      </c>
      <c r="AA464" t="s">
        <v>25</v>
      </c>
      <c r="AC464" t="s">
        <v>25</v>
      </c>
      <c r="AJ464" s="20">
        <v>166</v>
      </c>
      <c r="AK464" s="20" t="s">
        <v>5434</v>
      </c>
      <c r="AL464" s="37">
        <v>4200000</v>
      </c>
      <c r="AM464" s="20">
        <v>0</v>
      </c>
      <c r="AN464" s="20">
        <f t="shared" si="68"/>
        <v>202</v>
      </c>
      <c r="AO464" s="20">
        <f t="shared" si="69"/>
        <v>848400000</v>
      </c>
      <c r="AP464" s="20"/>
      <c r="AT464" t="s">
        <v>25</v>
      </c>
    </row>
    <row r="465" spans="13:47">
      <c r="M465" s="357" t="s">
        <v>6823</v>
      </c>
      <c r="N465" s="18">
        <v>5003571.3628719999</v>
      </c>
      <c r="O465" s="370" t="s">
        <v>6829</v>
      </c>
      <c r="P465" s="370">
        <v>1744</v>
      </c>
      <c r="Q465" s="18">
        <v>3667.729437</v>
      </c>
      <c r="R465" s="18">
        <f t="shared" si="63"/>
        <v>6396520.1381280003</v>
      </c>
      <c r="S465" s="370" t="s">
        <v>4975</v>
      </c>
      <c r="AA465" t="s">
        <v>25</v>
      </c>
      <c r="AB465" t="s">
        <v>25</v>
      </c>
      <c r="AJ465" s="97">
        <v>167</v>
      </c>
      <c r="AK465" s="97" t="s">
        <v>5434</v>
      </c>
      <c r="AL465" s="131">
        <v>3300000</v>
      </c>
      <c r="AM465" s="97">
        <v>11</v>
      </c>
      <c r="AN465" s="97">
        <f t="shared" si="68"/>
        <v>202</v>
      </c>
      <c r="AO465" s="97">
        <f t="shared" si="69"/>
        <v>666600000</v>
      </c>
      <c r="AP465" s="97"/>
      <c r="AT465" t="s">
        <v>25</v>
      </c>
    </row>
    <row r="466" spans="13:47">
      <c r="M466" s="357" t="s">
        <v>6827</v>
      </c>
      <c r="N466" s="18">
        <v>4813787.1121500004</v>
      </c>
      <c r="O466" s="370" t="s">
        <v>6831</v>
      </c>
      <c r="P466" s="370">
        <v>2898</v>
      </c>
      <c r="Q466" s="18">
        <v>3710.390046</v>
      </c>
      <c r="R466" s="18">
        <f t="shared" si="63"/>
        <v>10752710.353308</v>
      </c>
      <c r="S466" s="370" t="s">
        <v>4975</v>
      </c>
      <c r="AJ466" s="97">
        <v>168</v>
      </c>
      <c r="AK466" s="97" t="s">
        <v>5454</v>
      </c>
      <c r="AL466" s="131">
        <v>-1500000</v>
      </c>
      <c r="AM466" s="97">
        <v>42</v>
      </c>
      <c r="AN466" s="97">
        <f t="shared" si="68"/>
        <v>191</v>
      </c>
      <c r="AO466" s="97">
        <f t="shared" si="69"/>
        <v>-286500000</v>
      </c>
      <c r="AP466" s="97"/>
    </row>
    <row r="467" spans="13:47">
      <c r="M467" s="357" t="s">
        <v>6827</v>
      </c>
      <c r="N467" s="18">
        <v>44213627.939580001</v>
      </c>
      <c r="O467" s="370" t="s">
        <v>6834</v>
      </c>
      <c r="P467" s="370">
        <v>269</v>
      </c>
      <c r="Q467" s="18">
        <v>3710</v>
      </c>
      <c r="R467" s="18">
        <f t="shared" si="63"/>
        <v>997990</v>
      </c>
      <c r="S467" s="370" t="s">
        <v>6836</v>
      </c>
      <c r="AB467" t="s">
        <v>25</v>
      </c>
      <c r="AC467" t="s">
        <v>25</v>
      </c>
      <c r="AJ467" s="20">
        <v>169</v>
      </c>
      <c r="AK467" s="20" t="s">
        <v>5484</v>
      </c>
      <c r="AL467" s="37">
        <v>260000</v>
      </c>
      <c r="AM467" s="20">
        <v>22</v>
      </c>
      <c r="AN467" s="20">
        <f t="shared" si="68"/>
        <v>149</v>
      </c>
      <c r="AO467" s="20">
        <f t="shared" si="69"/>
        <v>38740000</v>
      </c>
      <c r="AP467" s="20"/>
      <c r="AU467" t="s">
        <v>25</v>
      </c>
    </row>
    <row r="468" spans="13:47">
      <c r="M468" s="357" t="s">
        <v>6829</v>
      </c>
      <c r="N468" s="18">
        <v>6396520.1381280003</v>
      </c>
      <c r="O468" s="370" t="s">
        <v>6835</v>
      </c>
      <c r="P468" s="370">
        <v>6686</v>
      </c>
      <c r="Q468" s="18">
        <v>3795.7108929999999</v>
      </c>
      <c r="R468" s="18">
        <f t="shared" si="63"/>
        <v>25378123.030598</v>
      </c>
      <c r="S468" s="370" t="s">
        <v>4975</v>
      </c>
      <c r="AB468" t="s">
        <v>25</v>
      </c>
      <c r="AJ468" s="20">
        <v>170</v>
      </c>
      <c r="AK468" s="20" t="s">
        <v>5511</v>
      </c>
      <c r="AL468" s="37">
        <v>20000</v>
      </c>
      <c r="AM468" s="20">
        <v>0</v>
      </c>
      <c r="AN468" s="20">
        <f t="shared" si="68"/>
        <v>127</v>
      </c>
      <c r="AO468" s="20">
        <f t="shared" si="69"/>
        <v>2540000</v>
      </c>
      <c r="AP468" s="20"/>
    </row>
    <row r="469" spans="13:47">
      <c r="M469" s="357" t="s">
        <v>6831</v>
      </c>
      <c r="N469" s="18">
        <v>10752710.353308</v>
      </c>
      <c r="O469" s="370" t="s">
        <v>6820</v>
      </c>
      <c r="P469" s="370">
        <v>1282</v>
      </c>
      <c r="Q469" s="18">
        <v>3778.7915130000001</v>
      </c>
      <c r="R469" s="18">
        <f t="shared" si="63"/>
        <v>4844410.7196660005</v>
      </c>
      <c r="S469" s="370" t="s">
        <v>4975</v>
      </c>
      <c r="AC469" t="s">
        <v>25</v>
      </c>
      <c r="AJ469" s="135">
        <v>171</v>
      </c>
      <c r="AK469" s="135" t="s">
        <v>5511</v>
      </c>
      <c r="AL469" s="136">
        <v>20000</v>
      </c>
      <c r="AM469" s="135">
        <v>7</v>
      </c>
      <c r="AN469" s="97">
        <f t="shared" ref="AN469:AN477" si="70">AM469+AN470</f>
        <v>127</v>
      </c>
      <c r="AO469" s="97">
        <f>AL469*AN469</f>
        <v>2540000</v>
      </c>
      <c r="AP469" s="135"/>
    </row>
    <row r="470" spans="13:47">
      <c r="M470" s="357" t="s">
        <v>6835</v>
      </c>
      <c r="N470" s="18">
        <v>25378123.030598</v>
      </c>
      <c r="O470" s="370" t="s">
        <v>6842</v>
      </c>
      <c r="P470" s="370">
        <v>1249</v>
      </c>
      <c r="Q470" s="18">
        <v>3716</v>
      </c>
      <c r="R470" s="18">
        <f t="shared" si="63"/>
        <v>4641284</v>
      </c>
      <c r="S470" s="370" t="s">
        <v>4975</v>
      </c>
      <c r="AJ470" s="97">
        <v>172</v>
      </c>
      <c r="AK470" s="97" t="s">
        <v>5518</v>
      </c>
      <c r="AL470" s="131">
        <v>70000</v>
      </c>
      <c r="AM470" s="97">
        <v>0</v>
      </c>
      <c r="AN470" s="97">
        <f t="shared" si="70"/>
        <v>120</v>
      </c>
      <c r="AO470" s="97">
        <f>AL470*AN470</f>
        <v>8400000</v>
      </c>
      <c r="AP470" s="97"/>
    </row>
    <row r="471" spans="13:47">
      <c r="M471" s="357" t="s">
        <v>6820</v>
      </c>
      <c r="N471" s="1">
        <v>4844410.7196660005</v>
      </c>
      <c r="O471" s="370" t="s">
        <v>6844</v>
      </c>
      <c r="P471" s="370">
        <v>574</v>
      </c>
      <c r="Q471" s="18">
        <v>3600.5987289999998</v>
      </c>
      <c r="R471" s="18">
        <f t="shared" si="63"/>
        <v>2066743.6704459998</v>
      </c>
      <c r="S471" s="370" t="s">
        <v>4975</v>
      </c>
      <c r="AB471" t="s">
        <v>25</v>
      </c>
      <c r="AJ471" s="20">
        <v>173</v>
      </c>
      <c r="AK471" s="20" t="s">
        <v>5518</v>
      </c>
      <c r="AL471" s="37">
        <v>70000</v>
      </c>
      <c r="AM471" s="20">
        <v>1</v>
      </c>
      <c r="AN471" s="20">
        <f t="shared" si="70"/>
        <v>120</v>
      </c>
      <c r="AO471" s="20">
        <f>AL471*AN471</f>
        <v>8400000</v>
      </c>
      <c r="AP471" s="20"/>
    </row>
    <row r="472" spans="13:47">
      <c r="M472" s="357" t="s">
        <v>6842</v>
      </c>
      <c r="N472" s="1">
        <v>4641284</v>
      </c>
      <c r="O472" s="370" t="s">
        <v>6847</v>
      </c>
      <c r="P472" s="370">
        <v>497</v>
      </c>
      <c r="Q472" s="18">
        <v>3589.3367920000001</v>
      </c>
      <c r="R472" s="18">
        <f t="shared" si="63"/>
        <v>1783900.3856240001</v>
      </c>
      <c r="S472" s="370" t="s">
        <v>4975</v>
      </c>
      <c r="AJ472" s="20">
        <v>174</v>
      </c>
      <c r="AK472" s="20" t="s">
        <v>5524</v>
      </c>
      <c r="AL472" s="37">
        <v>330000</v>
      </c>
      <c r="AM472" s="20">
        <v>0</v>
      </c>
      <c r="AN472" s="20">
        <f t="shared" si="70"/>
        <v>119</v>
      </c>
      <c r="AO472" s="20">
        <f>AL472*AN472</f>
        <v>39270000</v>
      </c>
      <c r="AP472" s="20"/>
    </row>
    <row r="473" spans="13:47">
      <c r="M473" s="357" t="s">
        <v>6844</v>
      </c>
      <c r="N473" s="1">
        <v>2066743.6704459998</v>
      </c>
      <c r="O473" s="370" t="s">
        <v>6848</v>
      </c>
      <c r="P473" s="370">
        <v>676</v>
      </c>
      <c r="Q473" s="18">
        <v>3616.4651760000002</v>
      </c>
      <c r="R473" s="18">
        <f t="shared" si="63"/>
        <v>2444730.4589760001</v>
      </c>
      <c r="S473" s="370" t="s">
        <v>4975</v>
      </c>
      <c r="AJ473" s="97">
        <v>175</v>
      </c>
      <c r="AK473" s="97" t="s">
        <v>5524</v>
      </c>
      <c r="AL473" s="131">
        <v>330000</v>
      </c>
      <c r="AM473" s="97">
        <v>10</v>
      </c>
      <c r="AN473" s="97">
        <f t="shared" si="70"/>
        <v>119</v>
      </c>
      <c r="AO473" s="97">
        <f t="shared" ref="AO473:AO478" si="71">AL473*AN473</f>
        <v>39270000</v>
      </c>
      <c r="AP473" s="97"/>
    </row>
    <row r="474" spans="13:47">
      <c r="M474" s="357" t="s">
        <v>6847</v>
      </c>
      <c r="N474" s="1">
        <v>1783900.3856240001</v>
      </c>
      <c r="O474" s="370" t="s">
        <v>6849</v>
      </c>
      <c r="P474" s="370">
        <v>3162</v>
      </c>
      <c r="Q474" s="18">
        <v>3526.4000850000002</v>
      </c>
      <c r="R474" s="18">
        <f t="shared" si="63"/>
        <v>11150477.068770001</v>
      </c>
      <c r="S474" s="370" t="s">
        <v>4975</v>
      </c>
      <c r="AA474" t="s">
        <v>25</v>
      </c>
      <c r="AJ474" s="97">
        <v>176</v>
      </c>
      <c r="AK474" s="97" t="s">
        <v>5532</v>
      </c>
      <c r="AL474" s="131">
        <v>90000000</v>
      </c>
      <c r="AM474" s="97">
        <v>16</v>
      </c>
      <c r="AN474" s="97">
        <f t="shared" si="70"/>
        <v>109</v>
      </c>
      <c r="AO474" s="97">
        <f t="shared" si="71"/>
        <v>9810000000</v>
      </c>
      <c r="AP474" s="97"/>
    </row>
    <row r="475" spans="13:47">
      <c r="M475" s="357" t="s">
        <v>6848</v>
      </c>
      <c r="N475" s="1">
        <v>2444730.4589760001</v>
      </c>
      <c r="O475" s="370" t="s">
        <v>6850</v>
      </c>
      <c r="P475" s="370">
        <v>690</v>
      </c>
      <c r="Q475" s="18">
        <v>3523.7594399999998</v>
      </c>
      <c r="R475" s="18">
        <f t="shared" si="63"/>
        <v>2431394.0135999997</v>
      </c>
      <c r="S475" s="370" t="s">
        <v>4975</v>
      </c>
      <c r="AB475" t="s">
        <v>25</v>
      </c>
      <c r="AC475" t="s">
        <v>25</v>
      </c>
      <c r="AJ475" s="97">
        <v>177</v>
      </c>
      <c r="AK475" s="97" t="s">
        <v>5545</v>
      </c>
      <c r="AL475" s="131">
        <v>-15000000</v>
      </c>
      <c r="AM475" s="97">
        <v>65</v>
      </c>
      <c r="AN475" s="97">
        <f t="shared" si="70"/>
        <v>93</v>
      </c>
      <c r="AO475" s="97">
        <f t="shared" si="71"/>
        <v>-1395000000</v>
      </c>
      <c r="AP475" s="97" t="s">
        <v>5546</v>
      </c>
    </row>
    <row r="476" spans="13:47">
      <c r="M476" s="357" t="s">
        <v>6849</v>
      </c>
      <c r="N476" s="1">
        <v>11150477.068770001</v>
      </c>
      <c r="O476" s="370" t="s">
        <v>6851</v>
      </c>
      <c r="P476" s="370">
        <v>2391</v>
      </c>
      <c r="Q476" s="18">
        <v>3532.2039439999999</v>
      </c>
      <c r="R476" s="18">
        <f t="shared" si="63"/>
        <v>8445499.6301039997</v>
      </c>
      <c r="S476" s="370" t="s">
        <v>4975</v>
      </c>
      <c r="AB476" t="s">
        <v>25</v>
      </c>
      <c r="AJ476" s="97">
        <v>178</v>
      </c>
      <c r="AK476" s="97" t="s">
        <v>5600</v>
      </c>
      <c r="AL476" s="131">
        <v>33833075</v>
      </c>
      <c r="AM476" s="97">
        <v>0</v>
      </c>
      <c r="AN476" s="97">
        <f t="shared" si="70"/>
        <v>28</v>
      </c>
      <c r="AO476" s="97">
        <f t="shared" si="71"/>
        <v>947326100</v>
      </c>
      <c r="AP476" s="97" t="s">
        <v>5603</v>
      </c>
    </row>
    <row r="477" spans="13:47">
      <c r="M477" s="357" t="s">
        <v>6850</v>
      </c>
      <c r="N477" s="1">
        <v>2431394.0135999997</v>
      </c>
      <c r="O477" s="370" t="s">
        <v>6853</v>
      </c>
      <c r="P477" s="370">
        <v>917</v>
      </c>
      <c r="Q477" s="18">
        <v>3931.4608499999999</v>
      </c>
      <c r="R477" s="18">
        <f t="shared" si="63"/>
        <v>3605149.5994500001</v>
      </c>
      <c r="S477" s="370" t="s">
        <v>4975</v>
      </c>
      <c r="AA477" t="s">
        <v>25</v>
      </c>
      <c r="AC477" t="s">
        <v>25</v>
      </c>
      <c r="AJ477" s="20">
        <v>197</v>
      </c>
      <c r="AK477" s="20" t="s">
        <v>5600</v>
      </c>
      <c r="AL477" s="37">
        <v>20033075</v>
      </c>
      <c r="AM477" s="20">
        <v>28</v>
      </c>
      <c r="AN477" s="20">
        <f t="shared" si="70"/>
        <v>28</v>
      </c>
      <c r="AO477" s="20">
        <f t="shared" si="71"/>
        <v>560926100</v>
      </c>
      <c r="AP477" s="20" t="s">
        <v>5603</v>
      </c>
    </row>
    <row r="478" spans="13:47">
      <c r="M478" s="357" t="s">
        <v>6851</v>
      </c>
      <c r="N478" s="1">
        <v>8445499.6301039997</v>
      </c>
      <c r="O478" s="370" t="s">
        <v>6861</v>
      </c>
      <c r="P478" s="370">
        <v>618</v>
      </c>
      <c r="Q478" s="18">
        <v>4285.9504459999998</v>
      </c>
      <c r="R478" s="18">
        <f t="shared" si="63"/>
        <v>2648717.3756280001</v>
      </c>
      <c r="S478" s="370" t="s">
        <v>4975</v>
      </c>
      <c r="AA478" t="s">
        <v>25</v>
      </c>
      <c r="AB478" t="s">
        <v>25</v>
      </c>
      <c r="AJ478" s="97">
        <v>198</v>
      </c>
      <c r="AK478" s="97" t="s">
        <v>5615</v>
      </c>
      <c r="AL478" s="131">
        <v>-22520813.151772</v>
      </c>
      <c r="AM478" s="97">
        <v>0</v>
      </c>
      <c r="AN478" s="97">
        <f>AM478+AN509</f>
        <v>0</v>
      </c>
      <c r="AO478" s="97">
        <f t="shared" si="71"/>
        <v>0</v>
      </c>
      <c r="AP478" s="97" t="s">
        <v>5622</v>
      </c>
      <c r="AU478" t="s">
        <v>25</v>
      </c>
    </row>
    <row r="479" spans="13:47">
      <c r="M479" s="357" t="s">
        <v>6853</v>
      </c>
      <c r="N479" s="1">
        <v>3605149.5994500001</v>
      </c>
      <c r="O479" s="370" t="s">
        <v>6863</v>
      </c>
      <c r="P479" s="370">
        <v>716</v>
      </c>
      <c r="Q479" s="18">
        <v>4386.6494759999996</v>
      </c>
      <c r="R479" s="18">
        <f t="shared" si="63"/>
        <v>3140841.0248159999</v>
      </c>
      <c r="S479" s="370" t="s">
        <v>4975</v>
      </c>
      <c r="AC479" t="s">
        <v>25</v>
      </c>
      <c r="AJ479" s="20">
        <v>199</v>
      </c>
      <c r="AK479" s="20" t="s">
        <v>5615</v>
      </c>
      <c r="AL479" s="37">
        <v>-204353015</v>
      </c>
      <c r="AM479" s="20">
        <v>0</v>
      </c>
      <c r="AN479" s="20">
        <f>AM479+AN480</f>
        <v>437</v>
      </c>
      <c r="AO479" s="20">
        <f>AL479*AN479</f>
        <v>-89302267555</v>
      </c>
      <c r="AP479" s="20" t="s">
        <v>5623</v>
      </c>
    </row>
    <row r="480" spans="13:47">
      <c r="M480" s="357" t="s">
        <v>6861</v>
      </c>
      <c r="N480" s="1">
        <v>2648717.3756280001</v>
      </c>
      <c r="O480" s="370" t="s">
        <v>6864</v>
      </c>
      <c r="P480" s="370">
        <v>331</v>
      </c>
      <c r="Q480" s="18">
        <v>4233.0955709999998</v>
      </c>
      <c r="R480" s="18">
        <f t="shared" si="63"/>
        <v>1401154.6340009999</v>
      </c>
      <c r="S480" s="370" t="s">
        <v>4975</v>
      </c>
      <c r="AB480" t="s">
        <v>25</v>
      </c>
      <c r="AC480" t="s">
        <v>25</v>
      </c>
      <c r="AJ480" s="20">
        <v>200</v>
      </c>
      <c r="AK480" s="20" t="s">
        <v>5615</v>
      </c>
      <c r="AL480" s="37">
        <v>50000000</v>
      </c>
      <c r="AM480" s="20">
        <v>1</v>
      </c>
      <c r="AN480" s="20">
        <f>AM480+AN481</f>
        <v>437</v>
      </c>
      <c r="AO480" s="20">
        <f>AL480*AN480</f>
        <v>21850000000</v>
      </c>
      <c r="AP480" s="20" t="s">
        <v>5624</v>
      </c>
    </row>
    <row r="481" spans="13:48">
      <c r="M481" s="357" t="s">
        <v>6863</v>
      </c>
      <c r="N481" s="1">
        <v>3140841.0248159999</v>
      </c>
      <c r="O481" s="370" t="s">
        <v>6872</v>
      </c>
      <c r="P481" s="370">
        <v>340</v>
      </c>
      <c r="Q481" s="18">
        <v>4311.0786930000004</v>
      </c>
      <c r="R481" s="18">
        <f t="shared" si="63"/>
        <v>1465766.7556200002</v>
      </c>
      <c r="S481" s="370" t="s">
        <v>4975</v>
      </c>
      <c r="AJ481" s="20">
        <v>201</v>
      </c>
      <c r="AK481" s="20" t="s">
        <v>5630</v>
      </c>
      <c r="AL481" s="37">
        <v>50000000</v>
      </c>
      <c r="AM481" s="20">
        <v>8</v>
      </c>
      <c r="AN481" s="20">
        <f>AM481+AN482</f>
        <v>436</v>
      </c>
      <c r="AO481" s="20">
        <f>AL481*AN481</f>
        <v>21800000000</v>
      </c>
      <c r="AP481" s="20" t="s">
        <v>5624</v>
      </c>
    </row>
    <row r="482" spans="13:48">
      <c r="M482" s="357" t="s">
        <v>6864</v>
      </c>
      <c r="N482" s="1">
        <v>1401154.6340009999</v>
      </c>
      <c r="O482" s="370" t="s">
        <v>6877</v>
      </c>
      <c r="P482" s="370">
        <v>2358</v>
      </c>
      <c r="Q482" s="18">
        <v>4665.0729620000002</v>
      </c>
      <c r="R482" s="18">
        <f t="shared" si="63"/>
        <v>11000242.044396</v>
      </c>
      <c r="S482" s="370" t="s">
        <v>5514</v>
      </c>
      <c r="AC482" t="s">
        <v>25</v>
      </c>
      <c r="AJ482" s="20">
        <v>202</v>
      </c>
      <c r="AK482" s="20" t="s">
        <v>5982</v>
      </c>
      <c r="AL482" s="37">
        <v>30000000</v>
      </c>
      <c r="AM482" s="20">
        <v>2</v>
      </c>
      <c r="AN482" s="20">
        <f>AM482+AN483</f>
        <v>428</v>
      </c>
      <c r="AO482" s="20">
        <f>AL482*AN482</f>
        <v>12840000000</v>
      </c>
      <c r="AP482" s="20" t="s">
        <v>5983</v>
      </c>
    </row>
    <row r="483" spans="13:48">
      <c r="M483" s="357" t="s">
        <v>6872</v>
      </c>
      <c r="N483" s="1">
        <v>1465766.7556200002</v>
      </c>
      <c r="O483" s="189" t="s">
        <v>6877</v>
      </c>
      <c r="P483" s="189">
        <v>314</v>
      </c>
      <c r="Q483" s="190">
        <v>4665</v>
      </c>
      <c r="R483" s="190">
        <f t="shared" si="63"/>
        <v>1464810</v>
      </c>
      <c r="S483" s="189" t="s">
        <v>6878</v>
      </c>
      <c r="AC483" t="s">
        <v>25</v>
      </c>
      <c r="AJ483" s="97">
        <v>203</v>
      </c>
      <c r="AK483" s="97" t="s">
        <v>5985</v>
      </c>
      <c r="AL483" s="131">
        <v>20000000</v>
      </c>
      <c r="AM483" s="97">
        <v>29</v>
      </c>
      <c r="AN483" s="97">
        <f t="shared" ref="AN483:AN492" si="72">AM483+AN484</f>
        <v>426</v>
      </c>
      <c r="AO483" s="97">
        <f t="shared" ref="AO483:AO492" si="73">AL483*AN483</f>
        <v>8520000000</v>
      </c>
      <c r="AP483" s="97" t="s">
        <v>5986</v>
      </c>
    </row>
    <row r="484" spans="13:48">
      <c r="M484" s="357" t="s">
        <v>6877</v>
      </c>
      <c r="N484" s="1">
        <v>11000000</v>
      </c>
      <c r="O484" s="370" t="s">
        <v>6877</v>
      </c>
      <c r="P484" s="370">
        <v>4184</v>
      </c>
      <c r="Q484" s="18">
        <v>4658.019241</v>
      </c>
      <c r="R484" s="18">
        <f t="shared" si="63"/>
        <v>19489152.504344001</v>
      </c>
      <c r="S484" s="370" t="s">
        <v>4975</v>
      </c>
      <c r="AC484" t="s">
        <v>25</v>
      </c>
      <c r="AJ484" s="97">
        <v>204</v>
      </c>
      <c r="AK484" s="97" t="s">
        <v>6005</v>
      </c>
      <c r="AL484" s="131">
        <v>-20000000</v>
      </c>
      <c r="AM484" s="97">
        <v>0</v>
      </c>
      <c r="AN484" s="97">
        <f t="shared" si="72"/>
        <v>397</v>
      </c>
      <c r="AO484" s="97">
        <f t="shared" si="73"/>
        <v>-7940000000</v>
      </c>
      <c r="AP484" s="97" t="s">
        <v>6006</v>
      </c>
    </row>
    <row r="485" spans="13:48">
      <c r="M485" s="357" t="s">
        <v>6877</v>
      </c>
      <c r="N485" s="1">
        <v>19489152.504344001</v>
      </c>
      <c r="O485" s="370" t="s">
        <v>6881</v>
      </c>
      <c r="P485" s="370">
        <v>9131</v>
      </c>
      <c r="Q485" s="18">
        <v>5039.7090079999998</v>
      </c>
      <c r="R485" s="18">
        <f t="shared" si="63"/>
        <v>46017582.952047996</v>
      </c>
      <c r="S485" s="370" t="s">
        <v>4975</v>
      </c>
      <c r="AB485" t="s">
        <v>25</v>
      </c>
      <c r="AJ485" s="97">
        <v>205</v>
      </c>
      <c r="AK485" s="97" t="s">
        <v>6005</v>
      </c>
      <c r="AL485" s="131">
        <v>2000000</v>
      </c>
      <c r="AM485" s="97">
        <v>110</v>
      </c>
      <c r="AN485" s="97">
        <f t="shared" si="72"/>
        <v>397</v>
      </c>
      <c r="AO485" s="97">
        <f t="shared" si="73"/>
        <v>794000000</v>
      </c>
      <c r="AP485" s="97" t="s">
        <v>6007</v>
      </c>
    </row>
    <row r="486" spans="13:48">
      <c r="M486" s="357" t="s">
        <v>6882</v>
      </c>
      <c r="N486" s="1">
        <v>46017582.952047996</v>
      </c>
      <c r="O486" s="370" t="s">
        <v>6891</v>
      </c>
      <c r="P486" s="370">
        <v>1519</v>
      </c>
      <c r="Q486" s="18">
        <v>4970.8994720000001</v>
      </c>
      <c r="R486" s="18">
        <f t="shared" si="63"/>
        <v>7550796.2979680002</v>
      </c>
      <c r="S486" s="370" t="s">
        <v>4975</v>
      </c>
      <c r="AB486" t="s">
        <v>25</v>
      </c>
      <c r="AC486" t="s">
        <v>25</v>
      </c>
      <c r="AJ486" s="97">
        <v>206</v>
      </c>
      <c r="AK486" s="97" t="s">
        <v>6183</v>
      </c>
      <c r="AL486" s="131">
        <v>5082711</v>
      </c>
      <c r="AM486" s="97">
        <v>89</v>
      </c>
      <c r="AN486" s="97">
        <f t="shared" si="72"/>
        <v>287</v>
      </c>
      <c r="AO486" s="97">
        <f t="shared" si="73"/>
        <v>1458738057</v>
      </c>
      <c r="AP486" s="97" t="s">
        <v>6184</v>
      </c>
      <c r="AT486" t="s">
        <v>25</v>
      </c>
    </row>
    <row r="487" spans="13:48">
      <c r="M487" s="357" t="s">
        <v>6891</v>
      </c>
      <c r="N487" s="1">
        <v>7550796.2979680002</v>
      </c>
      <c r="O487" s="370" t="s">
        <v>6892</v>
      </c>
      <c r="P487" s="370">
        <v>342</v>
      </c>
      <c r="Q487" s="18">
        <v>4937</v>
      </c>
      <c r="R487" s="18">
        <f t="shared" si="63"/>
        <v>1688454</v>
      </c>
      <c r="S487" s="370" t="s">
        <v>4975</v>
      </c>
      <c r="AC487" t="s">
        <v>25</v>
      </c>
      <c r="AJ487" s="97">
        <v>207</v>
      </c>
      <c r="AK487" s="97" t="s">
        <v>6588</v>
      </c>
      <c r="AL487" s="131">
        <v>7300000</v>
      </c>
      <c r="AM487" s="97">
        <v>0</v>
      </c>
      <c r="AN487" s="97">
        <f t="shared" si="72"/>
        <v>198</v>
      </c>
      <c r="AO487" s="97">
        <f t="shared" si="73"/>
        <v>1445400000</v>
      </c>
      <c r="AP487" s="97" t="s">
        <v>6590</v>
      </c>
    </row>
    <row r="488" spans="13:48">
      <c r="M488" s="357" t="s">
        <v>6892</v>
      </c>
      <c r="N488" s="1">
        <v>1688454</v>
      </c>
      <c r="O488" s="370" t="s">
        <v>6899</v>
      </c>
      <c r="P488" s="370">
        <v>2150</v>
      </c>
      <c r="Q488" s="18">
        <v>5058.7095879999997</v>
      </c>
      <c r="R488" s="18">
        <f t="shared" si="63"/>
        <v>10876225.6142</v>
      </c>
      <c r="S488" s="370" t="s">
        <v>4975</v>
      </c>
      <c r="AC488" t="s">
        <v>25</v>
      </c>
      <c r="AJ488" s="20">
        <v>208</v>
      </c>
      <c r="AK488" s="20" t="s">
        <v>6588</v>
      </c>
      <c r="AL488" s="37">
        <v>7000000</v>
      </c>
      <c r="AM488" s="20">
        <v>135</v>
      </c>
      <c r="AN488" s="20">
        <f t="shared" si="72"/>
        <v>198</v>
      </c>
      <c r="AO488" s="20">
        <f t="shared" si="73"/>
        <v>1386000000</v>
      </c>
      <c r="AP488" s="20" t="s">
        <v>5624</v>
      </c>
    </row>
    <row r="489" spans="13:48">
      <c r="M489" s="357" t="s">
        <v>6899</v>
      </c>
      <c r="N489" s="1">
        <v>10876225.6142</v>
      </c>
      <c r="O489" s="370" t="s">
        <v>6902</v>
      </c>
      <c r="P489" s="370">
        <v>2468</v>
      </c>
      <c r="Q489" s="18">
        <v>5277.5279049999999</v>
      </c>
      <c r="R489" s="18">
        <f t="shared" si="63"/>
        <v>13024938.86954</v>
      </c>
      <c r="S489" s="370" t="s">
        <v>4975</v>
      </c>
      <c r="AJ489" s="97">
        <v>209</v>
      </c>
      <c r="AK489" s="97" t="s">
        <v>6653</v>
      </c>
      <c r="AL489" s="131">
        <v>-20000000</v>
      </c>
      <c r="AM489" s="97">
        <v>0</v>
      </c>
      <c r="AN489" s="97">
        <f t="shared" si="72"/>
        <v>63</v>
      </c>
      <c r="AO489" s="97">
        <f t="shared" si="73"/>
        <v>-1260000000</v>
      </c>
      <c r="AP489" s="97" t="s">
        <v>6657</v>
      </c>
    </row>
    <row r="490" spans="13:48">
      <c r="M490" s="357" t="s">
        <v>6902</v>
      </c>
      <c r="N490" s="1">
        <v>13024938.86954</v>
      </c>
      <c r="O490" s="370" t="s">
        <v>6903</v>
      </c>
      <c r="P490" s="370">
        <v>3210</v>
      </c>
      <c r="Q490" s="18">
        <v>5271.9779159999998</v>
      </c>
      <c r="R490" s="18">
        <f t="shared" si="63"/>
        <v>16923049.11036</v>
      </c>
      <c r="S490" s="370" t="s">
        <v>4975</v>
      </c>
      <c r="AC490" t="s">
        <v>25</v>
      </c>
      <c r="AD490" t="s">
        <v>25</v>
      </c>
      <c r="AJ490" s="97">
        <v>210</v>
      </c>
      <c r="AK490" s="97" t="s">
        <v>6653</v>
      </c>
      <c r="AL490" s="131">
        <v>-59825035</v>
      </c>
      <c r="AM490" s="97">
        <v>0</v>
      </c>
      <c r="AN490" s="97">
        <f t="shared" si="72"/>
        <v>63</v>
      </c>
      <c r="AO490" s="97">
        <f t="shared" si="73"/>
        <v>-3768977205</v>
      </c>
      <c r="AP490" s="97" t="s">
        <v>5622</v>
      </c>
    </row>
    <row r="491" spans="13:48">
      <c r="M491" s="357" t="s">
        <v>6903</v>
      </c>
      <c r="N491" s="1">
        <v>16923049.11036</v>
      </c>
      <c r="O491" s="370" t="s">
        <v>6905</v>
      </c>
      <c r="P491" s="370">
        <v>637</v>
      </c>
      <c r="Q491" s="18">
        <v>5269.92</v>
      </c>
      <c r="R491" s="18">
        <f t="shared" si="63"/>
        <v>3356939.04</v>
      </c>
      <c r="S491" s="370" t="s">
        <v>4975</v>
      </c>
      <c r="AA491" t="s">
        <v>25</v>
      </c>
      <c r="AB491" t="s">
        <v>25</v>
      </c>
      <c r="AC491" t="s">
        <v>25</v>
      </c>
      <c r="AJ491" s="20">
        <v>211</v>
      </c>
      <c r="AK491" s="20" t="s">
        <v>6653</v>
      </c>
      <c r="AL491" s="37">
        <v>-450269000</v>
      </c>
      <c r="AM491" s="20">
        <v>1</v>
      </c>
      <c r="AN491" s="20">
        <f t="shared" si="72"/>
        <v>63</v>
      </c>
      <c r="AO491" s="20">
        <f t="shared" si="73"/>
        <v>-28366947000</v>
      </c>
      <c r="AP491" s="20" t="s">
        <v>5621</v>
      </c>
      <c r="AU491" t="s">
        <v>25</v>
      </c>
    </row>
    <row r="492" spans="13:48">
      <c r="M492" s="357" t="s">
        <v>6905</v>
      </c>
      <c r="N492" s="1">
        <v>3356939.04</v>
      </c>
      <c r="O492" s="370" t="s">
        <v>6906</v>
      </c>
      <c r="P492" s="370">
        <v>5584</v>
      </c>
      <c r="Q492" s="18">
        <v>5401.777</v>
      </c>
      <c r="R492" s="18">
        <f t="shared" si="63"/>
        <v>30163522.767999999</v>
      </c>
      <c r="S492" s="370" t="s">
        <v>4975</v>
      </c>
      <c r="AJ492" s="20">
        <v>212</v>
      </c>
      <c r="AK492" s="20" t="s">
        <v>6661</v>
      </c>
      <c r="AL492" s="37">
        <v>50000000</v>
      </c>
      <c r="AM492" s="20">
        <v>1</v>
      </c>
      <c r="AN492" s="20">
        <f t="shared" si="72"/>
        <v>62</v>
      </c>
      <c r="AO492" s="20">
        <f t="shared" si="73"/>
        <v>3100000000</v>
      </c>
      <c r="AP492" s="20" t="s">
        <v>5624</v>
      </c>
      <c r="AT492" t="s">
        <v>25</v>
      </c>
      <c r="AU492" t="s">
        <v>25</v>
      </c>
    </row>
    <row r="493" spans="13:48">
      <c r="M493" s="357" t="s">
        <v>6906</v>
      </c>
      <c r="N493" s="1">
        <v>30163522.767999999</v>
      </c>
      <c r="O493" s="370" t="s">
        <v>6907</v>
      </c>
      <c r="P493" s="370">
        <v>4914</v>
      </c>
      <c r="Q493" s="18">
        <v>5310.9320900000002</v>
      </c>
      <c r="R493" s="18">
        <f t="shared" si="63"/>
        <v>26097920.290260002</v>
      </c>
      <c r="S493" s="370" t="s">
        <v>4975</v>
      </c>
      <c r="AB493" t="s">
        <v>25</v>
      </c>
      <c r="AJ493" s="20">
        <v>213</v>
      </c>
      <c r="AK493" s="20" t="s">
        <v>6667</v>
      </c>
      <c r="AL493" s="37">
        <v>50000000</v>
      </c>
      <c r="AM493" s="20">
        <v>1</v>
      </c>
      <c r="AN493" s="20">
        <f t="shared" ref="AN493:AN509" si="74">AM493+AN494</f>
        <v>61</v>
      </c>
      <c r="AO493" s="20">
        <f t="shared" ref="AO493:AO509" si="75">AL493*AN493</f>
        <v>3050000000</v>
      </c>
      <c r="AP493" s="20" t="s">
        <v>5624</v>
      </c>
      <c r="AT493" t="s">
        <v>25</v>
      </c>
      <c r="AU493" t="s">
        <v>25</v>
      </c>
      <c r="AV493" t="s">
        <v>25</v>
      </c>
    </row>
    <row r="494" spans="13:48">
      <c r="M494" s="357" t="s">
        <v>6907</v>
      </c>
      <c r="N494" s="1">
        <v>26097920.290260002</v>
      </c>
      <c r="O494" s="370" t="s">
        <v>6914</v>
      </c>
      <c r="P494" s="370">
        <v>2530</v>
      </c>
      <c r="Q494" s="18">
        <v>5281.4436539999997</v>
      </c>
      <c r="R494" s="18">
        <f t="shared" si="63"/>
        <v>13362052.444619998</v>
      </c>
      <c r="S494" s="370" t="s">
        <v>4975</v>
      </c>
      <c r="AB494" t="s">
        <v>25</v>
      </c>
      <c r="AJ494" s="20">
        <v>214</v>
      </c>
      <c r="AK494" s="20" t="s">
        <v>6668</v>
      </c>
      <c r="AL494" s="37">
        <v>50000000</v>
      </c>
      <c r="AM494" s="20">
        <v>1</v>
      </c>
      <c r="AN494" s="20">
        <f t="shared" si="74"/>
        <v>60</v>
      </c>
      <c r="AO494" s="20">
        <f t="shared" si="75"/>
        <v>3000000000</v>
      </c>
      <c r="AP494" s="20" t="s">
        <v>5624</v>
      </c>
      <c r="AS494" t="s">
        <v>25</v>
      </c>
    </row>
    <row r="495" spans="13:48">
      <c r="M495" s="357" t="s">
        <v>6914</v>
      </c>
      <c r="N495" s="1">
        <v>13362052.444619998</v>
      </c>
      <c r="O495" s="370" t="s">
        <v>6916</v>
      </c>
      <c r="P495" s="370">
        <v>1295</v>
      </c>
      <c r="Q495" s="18">
        <v>5383.64</v>
      </c>
      <c r="R495" s="18">
        <f t="shared" si="63"/>
        <v>6971813.8000000007</v>
      </c>
      <c r="S495" s="370" t="s">
        <v>4975</v>
      </c>
      <c r="U495" t="s">
        <v>25</v>
      </c>
      <c r="AJ495" s="20">
        <v>215</v>
      </c>
      <c r="AK495" s="20" t="s">
        <v>6669</v>
      </c>
      <c r="AL495" s="37">
        <v>50000000</v>
      </c>
      <c r="AM495" s="20">
        <v>1</v>
      </c>
      <c r="AN495" s="20">
        <f t="shared" si="74"/>
        <v>59</v>
      </c>
      <c r="AO495" s="20">
        <f t="shared" si="75"/>
        <v>2950000000</v>
      </c>
      <c r="AP495" s="20" t="s">
        <v>5624</v>
      </c>
    </row>
    <row r="496" spans="13:48">
      <c r="M496" s="357" t="s">
        <v>6916</v>
      </c>
      <c r="N496" s="1">
        <v>6971813.8000000007</v>
      </c>
      <c r="O496" s="370" t="s">
        <v>6926</v>
      </c>
      <c r="P496" s="370">
        <v>1462</v>
      </c>
      <c r="Q496" s="18">
        <v>6093.69</v>
      </c>
      <c r="R496" s="18">
        <f t="shared" si="63"/>
        <v>8908974.7799999993</v>
      </c>
      <c r="S496" s="370" t="s">
        <v>4975</v>
      </c>
      <c r="AD496" t="s">
        <v>25</v>
      </c>
      <c r="AJ496" s="20">
        <v>216</v>
      </c>
      <c r="AK496" s="20" t="s">
        <v>6670</v>
      </c>
      <c r="AL496" s="37">
        <v>100000000</v>
      </c>
      <c r="AM496" s="20">
        <v>1</v>
      </c>
      <c r="AN496" s="20">
        <f t="shared" si="74"/>
        <v>58</v>
      </c>
      <c r="AO496" s="20">
        <f t="shared" si="75"/>
        <v>5800000000</v>
      </c>
      <c r="AP496" s="20" t="s">
        <v>5624</v>
      </c>
    </row>
    <row r="497" spans="13:46">
      <c r="M497" s="357" t="s">
        <v>6926</v>
      </c>
      <c r="N497" s="1">
        <v>8908974.7799999993</v>
      </c>
      <c r="O497" s="370" t="s">
        <v>6928</v>
      </c>
      <c r="P497" s="370">
        <v>120</v>
      </c>
      <c r="Q497" s="18">
        <v>6076</v>
      </c>
      <c r="R497" s="18">
        <f t="shared" si="63"/>
        <v>729120</v>
      </c>
      <c r="S497" s="370" t="s">
        <v>6929</v>
      </c>
      <c r="AC497" t="s">
        <v>25</v>
      </c>
      <c r="AJ497" s="20">
        <v>217</v>
      </c>
      <c r="AK497" s="20" t="s">
        <v>6672</v>
      </c>
      <c r="AL497" s="37">
        <v>50000000</v>
      </c>
      <c r="AM497" s="20">
        <v>1</v>
      </c>
      <c r="AN497" s="20">
        <f t="shared" si="74"/>
        <v>57</v>
      </c>
      <c r="AO497" s="20">
        <f t="shared" si="75"/>
        <v>2850000000</v>
      </c>
      <c r="AP497" s="20" t="s">
        <v>5624</v>
      </c>
    </row>
    <row r="498" spans="13:46">
      <c r="M498" s="357" t="s">
        <v>6928</v>
      </c>
      <c r="N498" s="1">
        <v>-105576576</v>
      </c>
      <c r="O498" s="370" t="s">
        <v>6928</v>
      </c>
      <c r="P498" s="370">
        <v>-17376</v>
      </c>
      <c r="Q498" s="18">
        <v>6076</v>
      </c>
      <c r="R498" s="18">
        <f t="shared" si="63"/>
        <v>-105576576</v>
      </c>
      <c r="S498" s="370" t="s">
        <v>6931</v>
      </c>
      <c r="AA498" t="s">
        <v>25</v>
      </c>
      <c r="AB498" t="s">
        <v>25</v>
      </c>
      <c r="AJ498" s="20">
        <v>218</v>
      </c>
      <c r="AK498" s="20" t="s">
        <v>6674</v>
      </c>
      <c r="AL498" s="37">
        <v>65511600</v>
      </c>
      <c r="AM498" s="20">
        <v>1</v>
      </c>
      <c r="AN498" s="20">
        <f t="shared" si="74"/>
        <v>56</v>
      </c>
      <c r="AO498" s="20">
        <f t="shared" si="75"/>
        <v>3668649600</v>
      </c>
      <c r="AP498" s="20" t="s">
        <v>5624</v>
      </c>
      <c r="AT498" t="s">
        <v>25</v>
      </c>
    </row>
    <row r="499" spans="13:46">
      <c r="M499" s="357" t="s">
        <v>7047</v>
      </c>
      <c r="N499" s="18">
        <v>3096535.9948499999</v>
      </c>
      <c r="O499" s="370" t="s">
        <v>6933</v>
      </c>
      <c r="P499" s="370">
        <v>-804</v>
      </c>
      <c r="Q499" s="18">
        <v>6213</v>
      </c>
      <c r="R499" s="18">
        <f t="shared" si="63"/>
        <v>-4995252</v>
      </c>
      <c r="S499" s="370" t="s">
        <v>6934</v>
      </c>
      <c r="AD499" t="s">
        <v>25</v>
      </c>
      <c r="AJ499" s="20">
        <v>219</v>
      </c>
      <c r="AK499" s="20" t="s">
        <v>6678</v>
      </c>
      <c r="AL499" s="37">
        <v>25000000</v>
      </c>
      <c r="AM499" s="20">
        <v>25</v>
      </c>
      <c r="AN499" s="20">
        <f t="shared" si="74"/>
        <v>55</v>
      </c>
      <c r="AO499" s="20">
        <f t="shared" si="75"/>
        <v>1375000000</v>
      </c>
      <c r="AP499" s="20" t="s">
        <v>5624</v>
      </c>
    </row>
    <row r="500" spans="13:46">
      <c r="M500" s="357" t="s">
        <v>7048</v>
      </c>
      <c r="N500" s="18">
        <v>5999026.1866499996</v>
      </c>
      <c r="O500" s="189" t="s">
        <v>7017</v>
      </c>
      <c r="P500" s="189">
        <v>-3167</v>
      </c>
      <c r="Q500" s="190">
        <v>6314</v>
      </c>
      <c r="R500" s="190">
        <f t="shared" si="63"/>
        <v>-19996438</v>
      </c>
      <c r="S500" s="189" t="s">
        <v>6687</v>
      </c>
      <c r="U500" t="s">
        <v>25</v>
      </c>
      <c r="AB500" t="s">
        <v>25</v>
      </c>
      <c r="AJ500" s="97">
        <v>220</v>
      </c>
      <c r="AK500" s="97" t="s">
        <v>6686</v>
      </c>
      <c r="AL500" s="131">
        <v>-15162600</v>
      </c>
      <c r="AM500" s="97">
        <v>7</v>
      </c>
      <c r="AN500" s="20">
        <f t="shared" si="74"/>
        <v>30</v>
      </c>
      <c r="AO500" s="20">
        <f t="shared" si="75"/>
        <v>-454878000</v>
      </c>
      <c r="AP500" s="97" t="s">
        <v>6708</v>
      </c>
      <c r="AR500" t="s">
        <v>25</v>
      </c>
    </row>
    <row r="501" spans="13:46">
      <c r="M501" s="357"/>
      <c r="N501" s="1"/>
      <c r="O501" s="370" t="s">
        <v>7019</v>
      </c>
      <c r="P501" s="370">
        <v>-1868</v>
      </c>
      <c r="Q501" s="18">
        <v>6287</v>
      </c>
      <c r="R501" s="18">
        <f t="shared" si="63"/>
        <v>-11744116</v>
      </c>
      <c r="S501" s="370" t="s">
        <v>5621</v>
      </c>
      <c r="U501" t="s">
        <v>25</v>
      </c>
      <c r="AB501" t="s">
        <v>25</v>
      </c>
      <c r="AC501" t="s">
        <v>25</v>
      </c>
      <c r="AD501" t="s">
        <v>25</v>
      </c>
      <c r="AJ501" s="97">
        <v>221</v>
      </c>
      <c r="AK501" s="97" t="s">
        <v>6690</v>
      </c>
      <c r="AL501" s="131">
        <v>-10216551.764954999</v>
      </c>
      <c r="AM501" s="97">
        <v>4</v>
      </c>
      <c r="AN501" s="20">
        <f t="shared" si="74"/>
        <v>23</v>
      </c>
      <c r="AO501" s="20">
        <f t="shared" si="75"/>
        <v>-234980690.59396499</v>
      </c>
      <c r="AP501" s="97" t="s">
        <v>6708</v>
      </c>
    </row>
    <row r="502" spans="13:46">
      <c r="M502" s="357"/>
      <c r="N502" s="1"/>
      <c r="O502" s="370" t="s">
        <v>7019</v>
      </c>
      <c r="P502" s="370">
        <v>-37</v>
      </c>
      <c r="Q502" s="18">
        <v>6287</v>
      </c>
      <c r="R502" s="18">
        <f t="shared" si="63"/>
        <v>-232619</v>
      </c>
      <c r="S502" s="370" t="s">
        <v>5622</v>
      </c>
      <c r="AJ502" s="97">
        <v>222</v>
      </c>
      <c r="AK502" s="97" t="s">
        <v>6694</v>
      </c>
      <c r="AL502" s="131">
        <v>-5095614.0723999999</v>
      </c>
      <c r="AM502" s="97">
        <v>18</v>
      </c>
      <c r="AN502" s="20">
        <f t="shared" si="74"/>
        <v>19</v>
      </c>
      <c r="AO502" s="20">
        <f t="shared" si="75"/>
        <v>-96816667.375599995</v>
      </c>
      <c r="AP502" s="97" t="s">
        <v>6708</v>
      </c>
    </row>
    <row r="503" spans="13:46">
      <c r="M503" s="357"/>
      <c r="N503" s="1"/>
      <c r="O503" s="370" t="s">
        <v>7047</v>
      </c>
      <c r="P503" s="370">
        <v>530</v>
      </c>
      <c r="Q503" s="18">
        <v>5842.5207449999998</v>
      </c>
      <c r="R503" s="18">
        <f t="shared" si="63"/>
        <v>3096535.9948499999</v>
      </c>
      <c r="S503" s="370" t="s">
        <v>6711</v>
      </c>
      <c r="AJ503" s="97">
        <v>223</v>
      </c>
      <c r="AK503" s="97" t="s">
        <v>6702</v>
      </c>
      <c r="AL503" s="131">
        <v>-5464072.8466919996</v>
      </c>
      <c r="AM503" s="97">
        <v>0</v>
      </c>
      <c r="AN503" s="20">
        <f t="shared" si="74"/>
        <v>1</v>
      </c>
      <c r="AO503" s="20">
        <f t="shared" si="75"/>
        <v>-5464072.8466919996</v>
      </c>
      <c r="AP503" s="97" t="s">
        <v>6168</v>
      </c>
    </row>
    <row r="504" spans="13:46">
      <c r="M504" s="357"/>
      <c r="N504" s="1"/>
      <c r="O504" s="370" t="s">
        <v>7048</v>
      </c>
      <c r="P504" s="370">
        <v>1050</v>
      </c>
      <c r="Q504" s="18">
        <v>5713.3582729999998</v>
      </c>
      <c r="R504" s="18">
        <f t="shared" si="63"/>
        <v>5999026.1866499996</v>
      </c>
      <c r="S504" s="370" t="s">
        <v>6711</v>
      </c>
      <c r="AJ504" s="20">
        <v>224</v>
      </c>
      <c r="AK504" s="20" t="s">
        <v>6709</v>
      </c>
      <c r="AL504" s="37">
        <v>-35642178</v>
      </c>
      <c r="AM504" s="20">
        <v>1</v>
      </c>
      <c r="AN504" s="20">
        <f t="shared" si="74"/>
        <v>1</v>
      </c>
      <c r="AO504" s="20">
        <f t="shared" si="75"/>
        <v>-35642178</v>
      </c>
      <c r="AP504" s="20" t="s">
        <v>6705</v>
      </c>
    </row>
    <row r="505" spans="13:46">
      <c r="M505" s="357"/>
      <c r="N505" s="1"/>
      <c r="O505" s="370"/>
      <c r="P505" s="370"/>
      <c r="Q505" s="18"/>
      <c r="R505" s="18"/>
      <c r="S505" s="370"/>
      <c r="AJ505" s="20"/>
      <c r="AK505" s="20"/>
      <c r="AL505" s="37"/>
      <c r="AM505" s="20"/>
      <c r="AN505" s="20">
        <f t="shared" si="74"/>
        <v>0</v>
      </c>
      <c r="AO505" s="20">
        <f t="shared" si="75"/>
        <v>0</v>
      </c>
      <c r="AP505" s="20"/>
    </row>
    <row r="506" spans="13:46">
      <c r="M506" s="357"/>
      <c r="N506" s="1"/>
      <c r="O506" s="370"/>
      <c r="P506" s="370"/>
      <c r="Q506" s="18"/>
      <c r="R506" s="18"/>
      <c r="S506" s="370"/>
      <c r="AA506" t="s">
        <v>25</v>
      </c>
      <c r="AJ506" s="20"/>
      <c r="AK506" s="20"/>
      <c r="AL506" s="37"/>
      <c r="AM506" s="20"/>
      <c r="AN506" s="20">
        <f t="shared" si="74"/>
        <v>0</v>
      </c>
      <c r="AO506" s="20">
        <f t="shared" si="75"/>
        <v>0</v>
      </c>
      <c r="AP506" s="20"/>
    </row>
    <row r="507" spans="13:46">
      <c r="M507" s="357" t="s">
        <v>25</v>
      </c>
      <c r="N507" s="357" t="s">
        <v>25</v>
      </c>
      <c r="O507" s="370"/>
      <c r="P507" s="370"/>
      <c r="Q507" s="18"/>
      <c r="R507" s="18"/>
      <c r="S507" s="370"/>
      <c r="AC507" t="s">
        <v>25</v>
      </c>
      <c r="AJ507" s="20"/>
      <c r="AK507" s="20"/>
      <c r="AL507" s="37"/>
      <c r="AM507" s="20"/>
      <c r="AN507" s="20">
        <f t="shared" si="74"/>
        <v>0</v>
      </c>
      <c r="AO507" s="20">
        <f t="shared" si="75"/>
        <v>0</v>
      </c>
      <c r="AP507" s="20"/>
    </row>
    <row r="508" spans="13:46">
      <c r="M508" s="357"/>
      <c r="N508" s="1">
        <f>SUM(N161:N507)</f>
        <v>1986626226.5247021</v>
      </c>
      <c r="O508" s="370"/>
      <c r="P508" s="370"/>
      <c r="Q508" s="18"/>
      <c r="R508" s="18"/>
      <c r="S508" s="370"/>
      <c r="AB508" t="s">
        <v>25</v>
      </c>
      <c r="AC508" t="s">
        <v>25</v>
      </c>
      <c r="AJ508" s="20"/>
      <c r="AK508" s="20"/>
      <c r="AL508" s="37"/>
      <c r="AM508" s="20"/>
      <c r="AN508" s="20">
        <f t="shared" si="74"/>
        <v>0</v>
      </c>
      <c r="AO508" s="20">
        <f t="shared" si="75"/>
        <v>0</v>
      </c>
      <c r="AP508" s="20"/>
    </row>
    <row r="509" spans="13:46">
      <c r="M509" s="35"/>
      <c r="N509" s="357" t="s">
        <v>6</v>
      </c>
      <c r="O509" s="370"/>
      <c r="P509" s="370"/>
      <c r="Q509" s="18"/>
      <c r="R509" s="18"/>
      <c r="S509" s="370"/>
      <c r="AB509" t="s">
        <v>25</v>
      </c>
      <c r="AJ509" s="11"/>
      <c r="AK509" s="11"/>
      <c r="AL509" s="37"/>
      <c r="AM509" s="11"/>
      <c r="AN509" s="20">
        <f t="shared" si="74"/>
        <v>0</v>
      </c>
      <c r="AO509" s="20">
        <f t="shared" si="75"/>
        <v>0</v>
      </c>
      <c r="AP509" s="20"/>
    </row>
    <row r="510" spans="13:46">
      <c r="O510" s="370"/>
      <c r="P510" s="370"/>
      <c r="Q510" s="18"/>
      <c r="R510" s="18"/>
      <c r="S510" s="370"/>
      <c r="AB510" t="s">
        <v>25</v>
      </c>
      <c r="AJ510" s="11"/>
      <c r="AK510" s="11"/>
      <c r="AL510" s="37"/>
      <c r="AM510" s="11"/>
      <c r="AN510" s="20">
        <f>AM510+AN511</f>
        <v>0</v>
      </c>
      <c r="AO510" s="20">
        <f>AL510*AN510</f>
        <v>0</v>
      </c>
      <c r="AP510" s="11"/>
    </row>
    <row r="511" spans="13:46">
      <c r="O511" s="370"/>
      <c r="P511" s="370"/>
      <c r="Q511" s="18"/>
      <c r="R511" s="18">
        <f t="shared" si="41"/>
        <v>0</v>
      </c>
      <c r="S511" s="395"/>
      <c r="AJ511" s="11"/>
      <c r="AK511" s="11"/>
      <c r="AL511" s="26">
        <f>SUM(AL299:AL510)</f>
        <v>60011936.164180979</v>
      </c>
      <c r="AM511" s="11"/>
      <c r="AN511" s="11"/>
      <c r="AO511" s="11">
        <f>SUM(AO299:AO510)</f>
        <v>194101499872.18375</v>
      </c>
      <c r="AP511" s="26">
        <f>AO511*AP285/31</f>
        <v>104357732.20547377</v>
      </c>
    </row>
    <row r="512" spans="13:46">
      <c r="O512" s="357"/>
      <c r="P512" s="357"/>
      <c r="Q512" s="1"/>
      <c r="R512" s="18">
        <f t="shared" si="41"/>
        <v>0</v>
      </c>
      <c r="S512" s="357"/>
      <c r="AL512" t="s">
        <v>3972</v>
      </c>
      <c r="AO512" t="s">
        <v>284</v>
      </c>
      <c r="AP512" t="s">
        <v>863</v>
      </c>
    </row>
    <row r="513" spans="13:42">
      <c r="O513" s="357"/>
      <c r="P513" s="357">
        <f>SUM(P19:P512)</f>
        <v>4595466</v>
      </c>
      <c r="Q513" s="357"/>
      <c r="R513" s="357"/>
      <c r="S513" s="357"/>
    </row>
    <row r="514" spans="13:42">
      <c r="O514" s="357"/>
      <c r="P514" s="357" t="s">
        <v>6</v>
      </c>
      <c r="Q514" s="357"/>
      <c r="R514" s="357"/>
      <c r="S514" s="357"/>
      <c r="AK514" t="s">
        <v>3974</v>
      </c>
      <c r="AL514" s="7">
        <f>AL511+AP511</f>
        <v>164369668.36965474</v>
      </c>
      <c r="AO514" t="s">
        <v>25</v>
      </c>
    </row>
    <row r="515" spans="13:42">
      <c r="M515" t="s">
        <v>25</v>
      </c>
      <c r="O515" s="393" t="s">
        <v>4340</v>
      </c>
      <c r="P515" s="35"/>
      <c r="Q515" s="35"/>
      <c r="R515" s="35"/>
      <c r="S515" s="35"/>
      <c r="AB515" t="s">
        <v>25</v>
      </c>
      <c r="AK515" t="s">
        <v>3977</v>
      </c>
      <c r="AL515" s="7">
        <f>SUM(B26:B33)</f>
        <v>8760072030</v>
      </c>
    </row>
    <row r="516" spans="13:42">
      <c r="O516" s="143">
        <f>H17/P513</f>
        <v>5548.8815529591911</v>
      </c>
      <c r="P516" s="35"/>
      <c r="Q516" s="35"/>
      <c r="R516" s="35"/>
      <c r="S516" s="35" t="s">
        <v>25</v>
      </c>
      <c r="T516" t="s">
        <v>25</v>
      </c>
      <c r="AB516" t="s">
        <v>25</v>
      </c>
      <c r="AK516" t="s">
        <v>4037</v>
      </c>
      <c r="AL516" s="7">
        <f>AL515-AL511</f>
        <v>8700060093.8358192</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8595702361.6303463</v>
      </c>
      <c r="AO518" t="s">
        <v>25</v>
      </c>
      <c r="AP518" t="s">
        <v>25</v>
      </c>
    </row>
    <row r="519" spans="13:42">
      <c r="O519" s="76"/>
      <c r="P519" s="1">
        <v>6000000</v>
      </c>
      <c r="Q519" s="35">
        <f>P519/O516</f>
        <v>1081.2989866039275</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25499696514.651161</v>
      </c>
      <c r="Q529" s="26">
        <f>P529-O529</f>
        <v>23397316841.951122</v>
      </c>
    </row>
    <row r="530" spans="15:28">
      <c r="O530"/>
      <c r="R530" t="s">
        <v>25</v>
      </c>
      <c r="AB530" t="s">
        <v>25</v>
      </c>
    </row>
    <row r="531" spans="15:28">
      <c r="O531"/>
      <c r="Q531">
        <v>193</v>
      </c>
    </row>
    <row r="532" spans="15:28">
      <c r="O532" t="s">
        <v>5281</v>
      </c>
      <c r="P532">
        <v>353427</v>
      </c>
      <c r="Q532" s="7">
        <f>P532*$Q$531</f>
        <v>68211411</v>
      </c>
    </row>
    <row r="533" spans="15:28">
      <c r="O533" t="s">
        <v>6635</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6625</v>
      </c>
      <c r="C1" s="28" t="s">
        <v>6626</v>
      </c>
      <c r="D1" s="28" t="s">
        <v>6627</v>
      </c>
      <c r="E1" s="278" t="s">
        <v>6696</v>
      </c>
      <c r="F1" s="278" t="s">
        <v>6750</v>
      </c>
      <c r="G1" s="278" t="s">
        <v>6751</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6752</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6753</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6629</v>
      </c>
      <c r="B31" s="222">
        <v>109</v>
      </c>
      <c r="C31" s="222">
        <v>47</v>
      </c>
      <c r="D31" s="222">
        <v>104.7</v>
      </c>
      <c r="E31" s="222">
        <v>115</v>
      </c>
      <c r="F31" s="222"/>
      <c r="G31" s="222"/>
      <c r="H31" s="222">
        <v>839</v>
      </c>
      <c r="J31" t="s">
        <v>25</v>
      </c>
    </row>
    <row r="32" spans="1:10">
      <c r="A32" s="28" t="s">
        <v>6634</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6691</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6631</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6639</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6754</v>
      </c>
      <c r="D1" s="247" t="s">
        <v>6755</v>
      </c>
      <c r="E1" s="247" t="s">
        <v>6712</v>
      </c>
      <c r="F1" s="247" t="s">
        <v>6824</v>
      </c>
      <c r="G1" s="247" t="s">
        <v>6477</v>
      </c>
      <c r="H1" s="123" t="s">
        <v>6476</v>
      </c>
      <c r="I1" s="247" t="s">
        <v>6712</v>
      </c>
      <c r="J1" s="123" t="s">
        <v>6825</v>
      </c>
      <c r="K1" s="247" t="s">
        <v>6478</v>
      </c>
      <c r="L1" s="123" t="s">
        <v>6479</v>
      </c>
      <c r="M1" s="123" t="s">
        <v>6027</v>
      </c>
      <c r="N1" s="123" t="s">
        <v>6826</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tabSelected="1" zoomScaleNormal="100" workbookViewId="0">
      <selection activeCell="E20" sqref="E20"/>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7027</v>
      </c>
      <c r="D1" s="240" t="s">
        <v>6713</v>
      </c>
      <c r="E1" s="282" t="s">
        <v>6756</v>
      </c>
      <c r="F1" s="240" t="s">
        <v>6714</v>
      </c>
      <c r="G1" s="240" t="s">
        <v>6650</v>
      </c>
      <c r="H1" s="240" t="s">
        <v>6713</v>
      </c>
      <c r="I1" s="240" t="s">
        <v>6693</v>
      </c>
      <c r="J1" s="240" t="s">
        <v>6714</v>
      </c>
      <c r="K1" s="240" t="s">
        <v>6475</v>
      </c>
      <c r="L1" s="240" t="s">
        <v>4791</v>
      </c>
      <c r="M1" s="221">
        <v>72000000000</v>
      </c>
      <c r="R1" t="s">
        <v>4714</v>
      </c>
      <c r="S1" t="s">
        <v>4715</v>
      </c>
    </row>
    <row r="2" spans="1:19" ht="17.25">
      <c r="A2" s="289" t="s">
        <v>4712</v>
      </c>
      <c r="B2" s="290">
        <v>88414000000</v>
      </c>
      <c r="C2" s="291">
        <v>30</v>
      </c>
      <c r="D2" s="291">
        <f>B2*C2/$M$1</f>
        <v>36.839166666666664</v>
      </c>
      <c r="E2" s="291">
        <v>25</v>
      </c>
      <c r="F2" s="291">
        <f>B2*E2/$M$1</f>
        <v>30.699305555555554</v>
      </c>
      <c r="G2" s="291">
        <f>'سهام بنیادی'!D2</f>
        <v>33.700000000000003</v>
      </c>
      <c r="H2" s="291">
        <f>B2*G2/$M$1</f>
        <v>41.382663888888892</v>
      </c>
      <c r="I2" s="291">
        <f>'سهام بنیادی'!E2</f>
        <v>27</v>
      </c>
      <c r="J2" s="291">
        <f>B2*I2/$M$1</f>
        <v>33.155250000000002</v>
      </c>
      <c r="K2" s="291">
        <f>'سهام بنیادی'!H2</f>
        <v>218</v>
      </c>
      <c r="L2" s="291">
        <f>B2*K2/$M$1</f>
        <v>267.69794444444443</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row>
    <row r="5" spans="1:19" ht="17.25">
      <c r="A5" s="292" t="s">
        <v>6631</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row>
    <row r="6" spans="1:19" ht="17.25">
      <c r="A6" s="292"/>
      <c r="B6" s="290"/>
      <c r="C6" s="291"/>
      <c r="D6" s="291"/>
      <c r="E6" s="291"/>
      <c r="F6" s="291"/>
      <c r="G6" s="291"/>
      <c r="H6" s="291"/>
      <c r="I6" s="291"/>
      <c r="J6" s="291"/>
      <c r="K6" s="291"/>
      <c r="L6" s="291"/>
    </row>
    <row r="7" spans="1:19" ht="17.25">
      <c r="A7" s="289" t="s">
        <v>5613</v>
      </c>
      <c r="B7" s="289">
        <v>1</v>
      </c>
      <c r="C7" s="289"/>
      <c r="D7" s="291">
        <v>52</v>
      </c>
      <c r="E7" s="289"/>
      <c r="F7" s="291">
        <v>27</v>
      </c>
      <c r="G7" s="291"/>
      <c r="H7" s="291">
        <v>70</v>
      </c>
      <c r="I7" s="291"/>
      <c r="J7" s="291">
        <v>35</v>
      </c>
      <c r="K7" s="291" t="s">
        <v>5270</v>
      </c>
      <c r="L7" s="291">
        <v>370</v>
      </c>
    </row>
    <row r="8" spans="1:19" ht="17.25">
      <c r="A8" s="289" t="s">
        <v>6646</v>
      </c>
      <c r="B8" s="289">
        <v>1</v>
      </c>
      <c r="C8" s="289"/>
      <c r="D8" s="291">
        <v>15</v>
      </c>
      <c r="E8" s="291"/>
      <c r="F8" s="291">
        <v>25</v>
      </c>
      <c r="G8" s="291"/>
      <c r="H8" s="291">
        <v>31</v>
      </c>
      <c r="I8" s="291"/>
      <c r="J8" s="291">
        <f t="shared" si="0"/>
        <v>0</v>
      </c>
      <c r="K8" s="291" t="s">
        <v>5430</v>
      </c>
      <c r="L8" s="291">
        <v>230</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442.11320202777779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6715</v>
      </c>
      <c r="K11" s="289" t="s">
        <v>4888</v>
      </c>
      <c r="L11" s="291">
        <v>1465</v>
      </c>
    </row>
    <row r="12" spans="1:19" ht="17.25">
      <c r="A12" s="289"/>
      <c r="B12" s="289"/>
      <c r="C12" s="289"/>
      <c r="D12" s="289"/>
      <c r="E12" s="289"/>
      <c r="F12" s="289"/>
      <c r="G12" s="289"/>
      <c r="H12" s="289">
        <f>F10*H10/D10</f>
        <v>403.97663387194575</v>
      </c>
      <c r="I12" s="289"/>
      <c r="J12" s="289"/>
      <c r="K12" s="289" t="s">
        <v>4889</v>
      </c>
      <c r="L12" s="289">
        <f>L11/L10</f>
        <v>0.19764813939759729</v>
      </c>
    </row>
    <row r="13" spans="1:19">
      <c r="S13" t="s">
        <v>25</v>
      </c>
    </row>
    <row r="14" spans="1:19" ht="15.75">
      <c r="A14" s="240" t="s">
        <v>6644</v>
      </c>
      <c r="B14" s="240" t="s">
        <v>4711</v>
      </c>
      <c r="C14" s="282" t="s">
        <v>7027</v>
      </c>
      <c r="D14" s="240" t="s">
        <v>6648</v>
      </c>
      <c r="E14" s="282" t="s">
        <v>6756</v>
      </c>
      <c r="F14" s="240" t="s">
        <v>6649</v>
      </c>
      <c r="G14" s="240" t="s">
        <v>6650</v>
      </c>
      <c r="H14" s="240" t="s">
        <v>6648</v>
      </c>
      <c r="I14" s="240" t="s">
        <v>6693</v>
      </c>
      <c r="J14" s="240" t="s">
        <v>6649</v>
      </c>
      <c r="K14" s="240" t="s">
        <v>4163</v>
      </c>
      <c r="L14" s="240" t="s">
        <v>4791</v>
      </c>
      <c r="M14" s="221">
        <v>40500000000</v>
      </c>
    </row>
    <row r="15" spans="1:19" ht="17.25">
      <c r="A15" s="286" t="s">
        <v>4712</v>
      </c>
      <c r="B15" s="287">
        <v>89305000000</v>
      </c>
      <c r="C15" s="288">
        <v>30</v>
      </c>
      <c r="D15" s="288">
        <f t="shared" ref="D15:D23" si="1">B15*C15/$M$14</f>
        <v>66.151851851851845</v>
      </c>
      <c r="E15" s="288">
        <v>25</v>
      </c>
      <c r="F15" s="288">
        <f>B15*E15/$M$14</f>
        <v>55.126543209876544</v>
      </c>
      <c r="G15" s="288">
        <f>'سهام بنیادی'!D2</f>
        <v>33.700000000000003</v>
      </c>
      <c r="H15" s="288">
        <f t="shared" ref="H15:H23" si="2">B15*G15/$M$14</f>
        <v>74.310580246913588</v>
      </c>
      <c r="I15" s="288">
        <f>'سهام بنیادی'!E2</f>
        <v>27</v>
      </c>
      <c r="J15" s="288">
        <f>B15*I15/$M$14</f>
        <v>59.536666666666669</v>
      </c>
      <c r="K15" s="288">
        <f>'سهام بنیادی'!H2</f>
        <v>218</v>
      </c>
      <c r="L15" s="288">
        <f t="shared" ref="L15:L23" si="3">B15*K15/$M$14</f>
        <v>480.70345679012348</v>
      </c>
    </row>
    <row r="16" spans="1:19" ht="17.25">
      <c r="A16" s="286" t="s">
        <v>6152</v>
      </c>
      <c r="B16" s="287">
        <v>5955280568</v>
      </c>
      <c r="C16" s="288">
        <v>331</v>
      </c>
      <c r="D16" s="288">
        <f t="shared" si="1"/>
        <v>48.671552296493829</v>
      </c>
      <c r="E16" s="288">
        <v>240</v>
      </c>
      <c r="F16" s="288">
        <f t="shared" ref="F16:F23" si="4">B16*E16/$M$14</f>
        <v>35.290551514074075</v>
      </c>
      <c r="G16" s="288">
        <v>248</v>
      </c>
      <c r="H16" s="288">
        <f t="shared" si="2"/>
        <v>36.466903231209876</v>
      </c>
      <c r="I16" s="288">
        <v>185</v>
      </c>
      <c r="J16" s="288">
        <f t="shared" ref="J16:J23" si="5">B16*I16/$M$14</f>
        <v>27.203133458765432</v>
      </c>
      <c r="K16" s="288">
        <f>'سهام بنیادی'!H20</f>
        <v>1428</v>
      </c>
      <c r="L16" s="288">
        <f t="shared" si="3"/>
        <v>209.97878150874075</v>
      </c>
      <c r="S16" t="s">
        <v>25</v>
      </c>
    </row>
    <row r="17" spans="1:36" ht="17.25">
      <c r="A17" s="286" t="s">
        <v>6151</v>
      </c>
      <c r="B17" s="287">
        <v>20486832542</v>
      </c>
      <c r="C17" s="288">
        <v>260</v>
      </c>
      <c r="D17" s="288">
        <f t="shared" si="1"/>
        <v>131.52040644246912</v>
      </c>
      <c r="E17" s="288">
        <v>180</v>
      </c>
      <c r="F17" s="288">
        <f t="shared" si="4"/>
        <v>91.052589075555559</v>
      </c>
      <c r="G17" s="288">
        <f>'سهام بنیادی'!D18</f>
        <v>169.4</v>
      </c>
      <c r="H17" s="288">
        <f t="shared" si="2"/>
        <v>85.690603274439511</v>
      </c>
      <c r="I17" s="288">
        <f>'سهام بنیادی'!E18</f>
        <v>135</v>
      </c>
      <c r="J17" s="288">
        <f t="shared" si="5"/>
        <v>68.289441806666673</v>
      </c>
      <c r="K17" s="288">
        <f>'سهام بنیادی'!H18</f>
        <v>955</v>
      </c>
      <c r="L17" s="288">
        <f t="shared" si="3"/>
        <v>483.08456981753085</v>
      </c>
      <c r="N17" t="s">
        <v>25</v>
      </c>
    </row>
    <row r="18" spans="1:36" ht="17.25">
      <c r="A18" s="286" t="s">
        <v>4716</v>
      </c>
      <c r="B18" s="287">
        <v>4127266661</v>
      </c>
      <c r="C18" s="288">
        <v>4800</v>
      </c>
      <c r="D18" s="288">
        <f t="shared" si="1"/>
        <v>489.15753019259262</v>
      </c>
      <c r="E18" s="288">
        <v>2800</v>
      </c>
      <c r="F18" s="288">
        <f t="shared" si="4"/>
        <v>285.3418926123457</v>
      </c>
      <c r="G18" s="288">
        <f>'سهام بنیادی'!D3</f>
        <v>4000</v>
      </c>
      <c r="H18" s="288">
        <f t="shared" si="2"/>
        <v>407.63127516049383</v>
      </c>
      <c r="I18" s="288">
        <f>'سهام بنیادی'!E3</f>
        <v>2350</v>
      </c>
      <c r="J18" s="288">
        <f t="shared" si="5"/>
        <v>239.48337415679012</v>
      </c>
      <c r="K18" s="288">
        <f>'سهام بنیادی'!H3</f>
        <v>19300</v>
      </c>
      <c r="L18" s="288">
        <f t="shared" si="3"/>
        <v>1966.8209026493828</v>
      </c>
    </row>
    <row r="19" spans="1:36" ht="17.25">
      <c r="A19" s="286" t="s">
        <v>4717</v>
      </c>
      <c r="B19" s="287">
        <v>8079537102</v>
      </c>
      <c r="C19" s="288">
        <v>850</v>
      </c>
      <c r="D19" s="288">
        <f t="shared" si="1"/>
        <v>169.57053177037037</v>
      </c>
      <c r="E19" s="288">
        <v>450</v>
      </c>
      <c r="F19" s="288">
        <f t="shared" si="4"/>
        <v>89.772634466666673</v>
      </c>
      <c r="G19" s="288">
        <f>'سهام بنیادی'!D4</f>
        <v>1090</v>
      </c>
      <c r="H19" s="288">
        <f t="shared" si="2"/>
        <v>217.44927015259259</v>
      </c>
      <c r="I19" s="288">
        <f>'سهام بنیادی'!E4</f>
        <v>375</v>
      </c>
      <c r="J19" s="288">
        <f t="shared" si="5"/>
        <v>74.810528722222216</v>
      </c>
      <c r="K19" s="288">
        <f>'سهام بنیادی'!H4</f>
        <v>6934</v>
      </c>
      <c r="L19" s="288">
        <f t="shared" si="3"/>
        <v>1383.2965497597038</v>
      </c>
    </row>
    <row r="20" spans="1:36" ht="17.25">
      <c r="A20" s="286" t="s">
        <v>6153</v>
      </c>
      <c r="B20" s="287">
        <v>12384992403</v>
      </c>
      <c r="C20" s="288">
        <v>270</v>
      </c>
      <c r="D20" s="288">
        <f t="shared" si="1"/>
        <v>82.566616019999998</v>
      </c>
      <c r="E20" s="288">
        <v>200</v>
      </c>
      <c r="F20" s="288">
        <f t="shared" si="4"/>
        <v>61.160456311111112</v>
      </c>
      <c r="G20" s="288">
        <f>'سهام بنیادی'!D19</f>
        <v>200</v>
      </c>
      <c r="H20" s="288">
        <f t="shared" si="2"/>
        <v>61.160456311111112</v>
      </c>
      <c r="I20" s="288">
        <f>'سهام بنیادی'!E19</f>
        <v>195</v>
      </c>
      <c r="J20" s="288">
        <f t="shared" si="5"/>
        <v>59.631444903333332</v>
      </c>
      <c r="K20" s="288">
        <f>'سهام بنیادی'!H19</f>
        <v>1670</v>
      </c>
      <c r="L20" s="288">
        <f t="shared" si="3"/>
        <v>510.68981019777777</v>
      </c>
    </row>
    <row r="21" spans="1:36" ht="17.25">
      <c r="A21" s="286" t="s">
        <v>5340</v>
      </c>
      <c r="B21" s="287">
        <v>1636875595</v>
      </c>
      <c r="C21" s="288">
        <v>1319</v>
      </c>
      <c r="D21" s="288">
        <f t="shared" si="1"/>
        <v>53.309602711234568</v>
      </c>
      <c r="E21" s="288">
        <v>830</v>
      </c>
      <c r="F21" s="288">
        <f t="shared" si="4"/>
        <v>33.545845527160495</v>
      </c>
      <c r="G21" s="288">
        <f>'سهام بنیادی'!D5</f>
        <v>1113</v>
      </c>
      <c r="H21" s="288">
        <f t="shared" si="2"/>
        <v>44.983766351481485</v>
      </c>
      <c r="I21" s="288">
        <f>'سهام بنیادی'!E5</f>
        <v>570</v>
      </c>
      <c r="J21" s="288">
        <f t="shared" si="5"/>
        <v>23.037508374074076</v>
      </c>
      <c r="K21" s="288">
        <f>'سهام بنیادی'!H5</f>
        <v>6480</v>
      </c>
      <c r="L21" s="288">
        <f t="shared" si="3"/>
        <v>261.90009520000001</v>
      </c>
      <c r="O21" t="s">
        <v>25</v>
      </c>
    </row>
    <row r="22" spans="1:36" ht="17.25">
      <c r="A22" s="286" t="s">
        <v>4270</v>
      </c>
      <c r="B22" s="287">
        <v>813683684</v>
      </c>
      <c r="C22" s="288">
        <v>1317</v>
      </c>
      <c r="D22" s="288">
        <f t="shared" si="1"/>
        <v>26.459787946370369</v>
      </c>
      <c r="E22" s="288">
        <v>1100</v>
      </c>
      <c r="F22" s="288">
        <f t="shared" si="4"/>
        <v>22.100050676543209</v>
      </c>
      <c r="G22" s="288">
        <f>'سهام بنیادی'!D6</f>
        <v>1267</v>
      </c>
      <c r="H22" s="288">
        <f t="shared" si="2"/>
        <v>25.45524018834568</v>
      </c>
      <c r="I22" s="288">
        <f>'سهام بنیادی'!E6</f>
        <v>900</v>
      </c>
      <c r="J22" s="288">
        <f t="shared" si="5"/>
        <v>18.081859644444446</v>
      </c>
      <c r="K22" s="288">
        <f>'سهام بنیادی'!H6</f>
        <v>11500</v>
      </c>
      <c r="L22" s="288">
        <f t="shared" si="3"/>
        <v>231.04598434567902</v>
      </c>
    </row>
    <row r="23" spans="1:36" ht="17.25">
      <c r="A23" s="286" t="s">
        <v>4718</v>
      </c>
      <c r="B23" s="287">
        <v>236958025</v>
      </c>
      <c r="C23" s="288">
        <v>2810</v>
      </c>
      <c r="D23" s="288">
        <f t="shared" si="1"/>
        <v>16.44079136419753</v>
      </c>
      <c r="E23" s="288">
        <v>2000</v>
      </c>
      <c r="F23" s="288">
        <f t="shared" si="4"/>
        <v>11.701630864197531</v>
      </c>
      <c r="G23" s="288">
        <f>'سهام بنیادی'!D7</f>
        <v>1813</v>
      </c>
      <c r="H23" s="288">
        <f t="shared" si="2"/>
        <v>10.607528378395061</v>
      </c>
      <c r="I23" s="288">
        <f>'سهام بنیادی'!E7</f>
        <v>1435</v>
      </c>
      <c r="J23" s="288">
        <f t="shared" si="5"/>
        <v>8.3959201450617282</v>
      </c>
      <c r="K23" s="288">
        <f>'سهام بنیادی'!H7</f>
        <v>11550</v>
      </c>
      <c r="L23" s="288">
        <f t="shared" si="3"/>
        <v>67.576918240740738</v>
      </c>
      <c r="O23" t="s">
        <v>25</v>
      </c>
    </row>
    <row r="24" spans="1:36" ht="17.25">
      <c r="A24" s="286" t="s">
        <v>6645</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709.09219425753099</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642.48742323704721</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6">B30*C30/$M$1</f>
        <v>1.3454206944444445</v>
      </c>
      <c r="E30" s="186">
        <v>952</v>
      </c>
      <c r="F30" s="186">
        <f t="shared" ref="F30:F36" si="7">B30*E30/$M$1</f>
        <v>11.644004555555556</v>
      </c>
      <c r="H30" s="7"/>
      <c r="I30" s="7"/>
      <c r="J30" s="7"/>
      <c r="M30" t="s">
        <v>25</v>
      </c>
    </row>
    <row r="31" spans="1:36">
      <c r="A31" s="186" t="s">
        <v>6018</v>
      </c>
      <c r="B31" s="186">
        <v>1175000000</v>
      </c>
      <c r="C31" s="186">
        <v>30</v>
      </c>
      <c r="D31" s="186">
        <f t="shared" si="6"/>
        <v>0.48958333333333331</v>
      </c>
      <c r="E31" s="186">
        <v>628</v>
      </c>
      <c r="F31" s="186">
        <f t="shared" si="7"/>
        <v>10.248611111111112</v>
      </c>
      <c r="AJ31" t="s">
        <v>25</v>
      </c>
    </row>
    <row r="32" spans="1:36">
      <c r="A32" s="186" t="s">
        <v>6019</v>
      </c>
      <c r="B32" s="186">
        <v>1120000000</v>
      </c>
      <c r="C32" s="186">
        <v>100</v>
      </c>
      <c r="D32" s="186">
        <f t="shared" si="6"/>
        <v>1.5555555555555556</v>
      </c>
      <c r="E32" s="186">
        <v>893</v>
      </c>
      <c r="F32" s="186">
        <f t="shared" si="7"/>
        <v>13.891111111111112</v>
      </c>
      <c r="H32" t="s">
        <v>25</v>
      </c>
    </row>
    <row r="33" spans="1:35">
      <c r="A33" s="186" t="s">
        <v>6020</v>
      </c>
      <c r="B33" s="186">
        <v>468000000</v>
      </c>
      <c r="C33" s="186">
        <v>180</v>
      </c>
      <c r="D33" s="186">
        <f t="shared" si="6"/>
        <v>1.17</v>
      </c>
      <c r="E33" s="186">
        <v>4566</v>
      </c>
      <c r="F33" s="186">
        <f t="shared" si="7"/>
        <v>29.678999999999998</v>
      </c>
    </row>
    <row r="34" spans="1:35">
      <c r="A34" s="186" t="s">
        <v>6021</v>
      </c>
      <c r="B34" s="186">
        <v>393000000</v>
      </c>
      <c r="C34" s="270">
        <v>185</v>
      </c>
      <c r="D34" s="186">
        <f t="shared" si="6"/>
        <v>1.0097916666666666</v>
      </c>
      <c r="E34" s="186">
        <v>1573</v>
      </c>
      <c r="F34" s="186">
        <f t="shared" si="7"/>
        <v>8.585958333333334</v>
      </c>
      <c r="K34" t="s">
        <v>25</v>
      </c>
      <c r="AI34" t="s">
        <v>25</v>
      </c>
    </row>
    <row r="35" spans="1:35">
      <c r="A35" s="186" t="s">
        <v>6022</v>
      </c>
      <c r="B35" s="186">
        <v>4360000</v>
      </c>
      <c r="C35" s="186">
        <v>347</v>
      </c>
      <c r="D35" s="186">
        <f t="shared" si="6"/>
        <v>2.1012777777777776E-2</v>
      </c>
      <c r="E35" s="186">
        <v>11399</v>
      </c>
      <c r="F35" s="186">
        <f t="shared" si="7"/>
        <v>0.69027277777777774</v>
      </c>
      <c r="H35" t="s">
        <v>25</v>
      </c>
    </row>
    <row r="36" spans="1:35">
      <c r="A36" s="186" t="s">
        <v>6025</v>
      </c>
      <c r="B36" s="186">
        <v>1</v>
      </c>
      <c r="C36" s="186">
        <v>80000000000</v>
      </c>
      <c r="D36" s="186">
        <f t="shared" si="6"/>
        <v>1.1111111111111112</v>
      </c>
      <c r="E36" s="186">
        <v>703000000000</v>
      </c>
      <c r="F36" s="186">
        <f t="shared" si="7"/>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6628</v>
      </c>
      <c r="B41" s="295" t="s">
        <v>4711</v>
      </c>
      <c r="C41" s="295" t="s">
        <v>7027</v>
      </c>
      <c r="D41" s="295" t="s">
        <v>6651</v>
      </c>
      <c r="E41" s="295" t="s">
        <v>7028</v>
      </c>
      <c r="F41" s="295" t="s">
        <v>6652</v>
      </c>
      <c r="G41" s="295" t="s">
        <v>6650</v>
      </c>
      <c r="H41" s="295" t="s">
        <v>6651</v>
      </c>
      <c r="I41" s="295" t="s">
        <v>6693</v>
      </c>
      <c r="J41" s="295" t="s">
        <v>6652</v>
      </c>
      <c r="K41" s="295" t="s">
        <v>4163</v>
      </c>
      <c r="L41" s="295" t="s">
        <v>6647</v>
      </c>
      <c r="M41" s="294">
        <v>18500000000</v>
      </c>
    </row>
    <row r="42" spans="1:35" ht="17.25">
      <c r="A42" s="295" t="s">
        <v>5590</v>
      </c>
      <c r="B42" s="296">
        <v>4733791436</v>
      </c>
      <c r="C42" s="297">
        <v>468.9</v>
      </c>
      <c r="D42" s="297">
        <f t="shared" ref="D42:D47" si="8">B42*C42/$M$41</f>
        <v>119.98242185623783</v>
      </c>
      <c r="E42" s="297">
        <v>400</v>
      </c>
      <c r="F42" s="297">
        <f t="shared" ref="F42:F47" si="9">B42*E42/$M$41</f>
        <v>102.35224726486487</v>
      </c>
      <c r="G42" s="297">
        <f>'سهام بنیادی'!D25</f>
        <v>431</v>
      </c>
      <c r="H42" s="297">
        <f>B42*G42/$M$41</f>
        <v>110.2845464278919</v>
      </c>
      <c r="I42" s="297">
        <f>'سهام بنیادی'!E25</f>
        <v>400</v>
      </c>
      <c r="J42" s="297">
        <f t="shared" ref="J42:J48" si="10">B42*I42/$M$41</f>
        <v>102.35224726486487</v>
      </c>
      <c r="K42" s="297">
        <f>'سهام بنیادی'!H25</f>
        <v>4375</v>
      </c>
      <c r="L42" s="297">
        <f t="shared" ref="L42:L47" si="11">B42*K42/$M$41</f>
        <v>1119.4777044594593</v>
      </c>
    </row>
    <row r="43" spans="1:35" ht="17.25">
      <c r="A43" s="295" t="s">
        <v>6629</v>
      </c>
      <c r="B43" s="296">
        <v>8228254280</v>
      </c>
      <c r="C43" s="297">
        <v>172.5</v>
      </c>
      <c r="D43" s="297">
        <f t="shared" si="8"/>
        <v>76.722911529729728</v>
      </c>
      <c r="E43" s="297">
        <v>160</v>
      </c>
      <c r="F43" s="297">
        <f t="shared" si="9"/>
        <v>71.163280259459455</v>
      </c>
      <c r="G43" s="297">
        <f>'سهام بنیادی'!D31</f>
        <v>104.7</v>
      </c>
      <c r="H43" s="297">
        <f t="shared" ref="H43:H47" si="12">B43*G43/$M$41</f>
        <v>46.567471519783787</v>
      </c>
      <c r="I43" s="297"/>
      <c r="J43" s="297">
        <f t="shared" si="10"/>
        <v>0</v>
      </c>
      <c r="K43" s="297">
        <f>'سهام بنیادی'!H31</f>
        <v>839</v>
      </c>
      <c r="L43" s="297">
        <f t="shared" si="11"/>
        <v>373.16245086054056</v>
      </c>
    </row>
    <row r="44" spans="1:35" ht="17.25">
      <c r="A44" s="295" t="s">
        <v>6632</v>
      </c>
      <c r="B44" s="296">
        <v>6050310000</v>
      </c>
      <c r="C44" s="297">
        <v>60</v>
      </c>
      <c r="D44" s="297">
        <f t="shared" si="8"/>
        <v>19.622627027027026</v>
      </c>
      <c r="E44" s="297">
        <v>55</v>
      </c>
      <c r="F44" s="297">
        <f t="shared" si="9"/>
        <v>17.987408108108109</v>
      </c>
      <c r="G44" s="297">
        <f>'سهام بنیادی'!D32</f>
        <v>47</v>
      </c>
      <c r="H44" s="297">
        <f t="shared" si="12"/>
        <v>15.371057837837839</v>
      </c>
      <c r="I44" s="297"/>
      <c r="J44" s="297">
        <f t="shared" si="10"/>
        <v>0</v>
      </c>
      <c r="K44" s="297">
        <f>'سهام بنیادی'!H32</f>
        <v>311</v>
      </c>
      <c r="L44" s="297">
        <f t="shared" si="11"/>
        <v>101.71061675675676</v>
      </c>
    </row>
    <row r="45" spans="1:35" ht="17.25">
      <c r="A45" s="295" t="s">
        <v>6630</v>
      </c>
      <c r="B45" s="296">
        <v>9749100000</v>
      </c>
      <c r="C45" s="297">
        <v>200</v>
      </c>
      <c r="D45" s="297">
        <f t="shared" si="8"/>
        <v>105.39567567567568</v>
      </c>
      <c r="E45" s="297">
        <v>170</v>
      </c>
      <c r="F45" s="297">
        <f t="shared" si="9"/>
        <v>89.586324324324323</v>
      </c>
      <c r="G45" s="297">
        <f>'سهام بنیادی'!D33</f>
        <v>3500</v>
      </c>
      <c r="H45" s="297">
        <f t="shared" si="12"/>
        <v>1844.4243243243243</v>
      </c>
      <c r="I45" s="297"/>
      <c r="J45" s="297">
        <f t="shared" si="10"/>
        <v>0</v>
      </c>
      <c r="K45" s="297">
        <f>'سهام بنیادی'!H33</f>
        <v>25000</v>
      </c>
      <c r="L45" s="297">
        <f t="shared" si="11"/>
        <v>13174.45945945946</v>
      </c>
    </row>
    <row r="46" spans="1:35" ht="17.25">
      <c r="A46" s="295" t="s">
        <v>6691</v>
      </c>
      <c r="B46" s="296">
        <v>10494081426</v>
      </c>
      <c r="C46" s="297">
        <v>212</v>
      </c>
      <c r="D46" s="297">
        <f t="shared" si="8"/>
        <v>120.25650066551351</v>
      </c>
      <c r="E46" s="297">
        <v>190</v>
      </c>
      <c r="F46" s="297">
        <f t="shared" si="9"/>
        <v>107.77705248324324</v>
      </c>
      <c r="G46" s="297">
        <f>'سهام بنیادی'!D34</f>
        <v>217.5</v>
      </c>
      <c r="H46" s="297">
        <f t="shared" si="12"/>
        <v>123.37636271108109</v>
      </c>
      <c r="I46" s="297">
        <f>'سهام بنیادی'!E34</f>
        <v>170</v>
      </c>
      <c r="J46" s="297">
        <f t="shared" si="10"/>
        <v>96.432099590270269</v>
      </c>
      <c r="K46" s="297">
        <f>'سهام بنیادی'!H34</f>
        <v>2086</v>
      </c>
      <c r="L46" s="297">
        <f t="shared" si="11"/>
        <v>1183.278586737081</v>
      </c>
      <c r="M46" t="s">
        <v>25</v>
      </c>
    </row>
    <row r="47" spans="1:35" ht="17.25">
      <c r="A47" s="295" t="s">
        <v>6633</v>
      </c>
      <c r="B47" s="296">
        <v>19000000000</v>
      </c>
      <c r="C47" s="297">
        <v>34.700000000000003</v>
      </c>
      <c r="D47" s="297">
        <f t="shared" si="8"/>
        <v>35.637837837837836</v>
      </c>
      <c r="E47" s="297">
        <v>3.47</v>
      </c>
      <c r="F47" s="297">
        <f t="shared" si="9"/>
        <v>3.5637837837837836</v>
      </c>
      <c r="G47" s="297">
        <v>49.3</v>
      </c>
      <c r="H47" s="297">
        <f t="shared" si="12"/>
        <v>50.632432432432431</v>
      </c>
      <c r="I47" s="297"/>
      <c r="J47" s="297">
        <f t="shared" si="10"/>
        <v>0</v>
      </c>
      <c r="K47" s="297">
        <v>500</v>
      </c>
      <c r="L47" s="297">
        <f t="shared" si="11"/>
        <v>513.51351351351354</v>
      </c>
    </row>
    <row r="48" spans="1:35" ht="17.25">
      <c r="A48" s="295" t="s">
        <v>5613</v>
      </c>
      <c r="B48" s="296"/>
      <c r="C48" s="297"/>
      <c r="D48" s="297">
        <v>26</v>
      </c>
      <c r="E48" s="297"/>
      <c r="F48" s="297">
        <v>26</v>
      </c>
      <c r="G48" s="297"/>
      <c r="H48" s="297">
        <v>30</v>
      </c>
      <c r="I48" s="297"/>
      <c r="J48" s="297">
        <f t="shared" si="10"/>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6692</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3">F58*11400/1000000000</f>
        <v>7965.2939999999999</v>
      </c>
      <c r="L57" t="s">
        <v>25</v>
      </c>
    </row>
    <row r="58" spans="1:16">
      <c r="C58" t="s">
        <v>4956</v>
      </c>
      <c r="D58">
        <v>1306</v>
      </c>
      <c r="E58">
        <v>0.53500000000000003</v>
      </c>
      <c r="F58">
        <f t="shared" ref="F58:F64" si="14">D58*E58*$D$69</f>
        <v>698710000</v>
      </c>
      <c r="G58">
        <f t="shared" si="13"/>
        <v>57</v>
      </c>
      <c r="N58" t="s">
        <v>25</v>
      </c>
    </row>
    <row r="59" spans="1:16">
      <c r="C59" t="s">
        <v>4962</v>
      </c>
      <c r="D59">
        <v>10</v>
      </c>
      <c r="E59">
        <v>0.5</v>
      </c>
      <c r="F59">
        <f t="shared" si="14"/>
        <v>5000000</v>
      </c>
      <c r="G59">
        <f t="shared" si="13"/>
        <v>3645.72</v>
      </c>
      <c r="L59" t="s">
        <v>25</v>
      </c>
    </row>
    <row r="60" spans="1:16">
      <c r="C60" t="s">
        <v>4963</v>
      </c>
      <c r="D60">
        <v>492</v>
      </c>
      <c r="E60">
        <v>0.65</v>
      </c>
      <c r="F60">
        <f t="shared" si="14"/>
        <v>319800000</v>
      </c>
      <c r="G60">
        <f t="shared" si="13"/>
        <v>2679</v>
      </c>
    </row>
    <row r="61" spans="1:16">
      <c r="A61" t="s">
        <v>5565</v>
      </c>
      <c r="C61" t="s">
        <v>4964</v>
      </c>
      <c r="D61">
        <v>235</v>
      </c>
      <c r="E61">
        <v>1</v>
      </c>
      <c r="F61">
        <f t="shared" si="14"/>
        <v>235000000</v>
      </c>
      <c r="G61">
        <f t="shared" si="13"/>
        <v>3420</v>
      </c>
    </row>
    <row r="62" spans="1:16">
      <c r="A62" t="s">
        <v>5566</v>
      </c>
      <c r="B62">
        <v>0.3</v>
      </c>
      <c r="C62" t="s">
        <v>4965</v>
      </c>
      <c r="D62">
        <v>500</v>
      </c>
      <c r="E62">
        <v>0.6</v>
      </c>
      <c r="F62">
        <f t="shared" si="14"/>
        <v>300000000</v>
      </c>
      <c r="G62">
        <f t="shared" si="13"/>
        <v>10294.200000000001</v>
      </c>
      <c r="H62">
        <v>1</v>
      </c>
      <c r="N62" t="s">
        <v>25</v>
      </c>
    </row>
    <row r="63" spans="1:16">
      <c r="A63" t="s">
        <v>5169</v>
      </c>
      <c r="B63" s="18">
        <v>36000000000000</v>
      </c>
      <c r="C63" t="s">
        <v>4966</v>
      </c>
      <c r="D63">
        <v>903</v>
      </c>
      <c r="E63">
        <v>1</v>
      </c>
      <c r="F63">
        <f t="shared" si="14"/>
        <v>903000000</v>
      </c>
      <c r="G63">
        <f t="shared" si="13"/>
        <v>0</v>
      </c>
    </row>
    <row r="64" spans="1:16">
      <c r="A64" t="s">
        <v>4711</v>
      </c>
      <c r="B64">
        <v>18000000000</v>
      </c>
      <c r="F64">
        <f t="shared" si="14"/>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6605</v>
      </c>
      <c r="B125" s="271">
        <v>4000</v>
      </c>
      <c r="C125" s="272"/>
      <c r="D125" s="272"/>
      <c r="E125" s="272"/>
      <c r="F125" s="272"/>
      <c r="G125" s="272"/>
      <c r="H125" s="272"/>
      <c r="I125" s="272"/>
      <c r="J125" s="272"/>
      <c r="K125" s="272"/>
      <c r="L125" s="272"/>
    </row>
    <row r="126" spans="1:27" ht="30">
      <c r="A126" s="271" t="s">
        <v>6604</v>
      </c>
      <c r="B126" s="271">
        <v>2134</v>
      </c>
      <c r="C126" s="272"/>
      <c r="D126" s="272"/>
      <c r="E126" s="272"/>
      <c r="F126" s="272"/>
      <c r="G126" s="273" t="s">
        <v>6601</v>
      </c>
      <c r="H126" s="274" t="s">
        <v>6602</v>
      </c>
      <c r="I126" s="274"/>
      <c r="J126" s="274"/>
      <c r="K126" s="274" t="s">
        <v>6603</v>
      </c>
      <c r="L126" s="274" t="s">
        <v>6606</v>
      </c>
    </row>
    <row r="127" spans="1:27" ht="15.75">
      <c r="A127" s="273"/>
      <c r="B127" s="271" t="s">
        <v>6599</v>
      </c>
      <c r="C127" s="271" t="s">
        <v>4716</v>
      </c>
      <c r="D127" s="271" t="s">
        <v>5636</v>
      </c>
      <c r="E127" s="273" t="s">
        <v>4134</v>
      </c>
      <c r="F127" s="273" t="s">
        <v>6600</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6790</v>
      </c>
      <c r="B1" s="2">
        <v>10320481438</v>
      </c>
      <c r="C1" s="2"/>
      <c r="D1" s="2"/>
      <c r="E1" s="2"/>
      <c r="F1" s="2"/>
      <c r="G1" s="2"/>
      <c r="H1" s="2"/>
      <c r="I1" s="2"/>
      <c r="J1" s="2"/>
      <c r="K1" s="2"/>
    </row>
    <row r="2" spans="1:11">
      <c r="A2" s="2" t="s">
        <v>6791</v>
      </c>
      <c r="B2" s="2">
        <v>397032</v>
      </c>
      <c r="C2" s="2"/>
      <c r="D2" s="2"/>
      <c r="E2" s="2"/>
      <c r="F2" s="2"/>
      <c r="G2" s="2"/>
      <c r="H2" s="2"/>
      <c r="I2" s="2"/>
      <c r="J2" s="2"/>
      <c r="K2" s="2"/>
    </row>
    <row r="3" spans="1:11">
      <c r="A3" s="2" t="s">
        <v>6792</v>
      </c>
      <c r="B3" s="2" t="s">
        <v>6793</v>
      </c>
      <c r="C3" s="2" t="s">
        <v>6796</v>
      </c>
      <c r="D3" s="2"/>
      <c r="E3" s="2"/>
      <c r="F3" s="2"/>
      <c r="G3" s="2"/>
      <c r="H3" s="2"/>
      <c r="I3" s="2"/>
      <c r="J3" s="2"/>
      <c r="K3" s="2"/>
    </row>
    <row r="4" spans="1:11">
      <c r="A4" s="2" t="s">
        <v>6794</v>
      </c>
      <c r="B4" s="2" t="s">
        <v>6795</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6798</v>
      </c>
    </row>
    <row r="40" spans="1:11">
      <c r="A40" t="s">
        <v>4716</v>
      </c>
    </row>
    <row r="41" spans="1:11">
      <c r="A41" s="11" t="s">
        <v>6819</v>
      </c>
      <c r="B41" s="11" t="s">
        <v>6820</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6607</v>
      </c>
      <c r="B138" s="18">
        <v>2000000</v>
      </c>
      <c r="C138" s="2">
        <v>21</v>
      </c>
      <c r="D138" s="2">
        <f t="shared" si="8"/>
        <v>66</v>
      </c>
      <c r="E138" s="18">
        <f t="shared" si="9"/>
        <v>132000000</v>
      </c>
      <c r="F138" s="2"/>
    </row>
    <row r="139" spans="1:6">
      <c r="A139" s="2" t="s">
        <v>6611</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6614</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6643</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6671</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9" sqref="B9"/>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7" t="s">
        <v>528</v>
      </c>
      <c r="H28" s="357" t="s">
        <v>180</v>
      </c>
      <c r="I28" s="357" t="s">
        <v>527</v>
      </c>
      <c r="J28" s="357" t="s">
        <v>5375</v>
      </c>
    </row>
    <row r="29" spans="2:21">
      <c r="G29" s="357">
        <f t="shared" ref="G29:G52" si="5">$I$53-I29</f>
        <v>39000</v>
      </c>
      <c r="H29" s="357" t="s">
        <v>5159</v>
      </c>
      <c r="I29" s="357">
        <v>270000</v>
      </c>
      <c r="J29" s="357" t="s">
        <v>522</v>
      </c>
    </row>
    <row r="30" spans="2:21">
      <c r="G30" s="357">
        <f t="shared" si="5"/>
        <v>39000</v>
      </c>
      <c r="H30" s="357" t="s">
        <v>5159</v>
      </c>
      <c r="I30" s="357">
        <v>270000</v>
      </c>
      <c r="J30" s="357" t="s">
        <v>523</v>
      </c>
    </row>
    <row r="31" spans="2:21">
      <c r="G31" s="170">
        <f t="shared" si="5"/>
        <v>4900</v>
      </c>
      <c r="H31" s="170" t="s">
        <v>6760</v>
      </c>
      <c r="I31" s="170">
        <v>304100</v>
      </c>
      <c r="J31" s="170" t="s">
        <v>442</v>
      </c>
    </row>
    <row r="32" spans="2:21">
      <c r="G32" s="357">
        <f t="shared" si="5"/>
        <v>124000</v>
      </c>
      <c r="H32" s="399" t="s">
        <v>721</v>
      </c>
      <c r="I32" s="357">
        <v>185000</v>
      </c>
      <c r="J32" s="357" t="s">
        <v>517</v>
      </c>
    </row>
    <row r="33" spans="6:23">
      <c r="G33" s="357">
        <f t="shared" si="5"/>
        <v>25000</v>
      </c>
      <c r="H33" s="357" t="s">
        <v>6042</v>
      </c>
      <c r="I33" s="357">
        <v>284000</v>
      </c>
      <c r="J33" s="357" t="s">
        <v>524</v>
      </c>
    </row>
    <row r="34" spans="6:23">
      <c r="G34" s="357">
        <f t="shared" si="5"/>
        <v>25000</v>
      </c>
      <c r="H34" s="357" t="s">
        <v>6042</v>
      </c>
      <c r="I34" s="357">
        <v>284000</v>
      </c>
      <c r="J34" s="357" t="s">
        <v>525</v>
      </c>
    </row>
    <row r="35" spans="6:23">
      <c r="G35" s="357">
        <f t="shared" si="5"/>
        <v>4900</v>
      </c>
      <c r="H35" s="357" t="s">
        <v>6760</v>
      </c>
      <c r="I35" s="357">
        <v>304100</v>
      </c>
      <c r="J35" s="357" t="s">
        <v>526</v>
      </c>
    </row>
    <row r="36" spans="6:23">
      <c r="F36" t="s">
        <v>25</v>
      </c>
      <c r="G36" s="357">
        <f t="shared" si="5"/>
        <v>45000</v>
      </c>
      <c r="H36" s="357" t="s">
        <v>5201</v>
      </c>
      <c r="I36" s="357">
        <v>264000</v>
      </c>
      <c r="J36" s="357" t="s">
        <v>592</v>
      </c>
      <c r="O36" s="22"/>
    </row>
    <row r="37" spans="6:23">
      <c r="G37" s="357">
        <f t="shared" si="5"/>
        <v>11000</v>
      </c>
      <c r="H37" s="357" t="s">
        <v>6685</v>
      </c>
      <c r="I37" s="357">
        <v>298000</v>
      </c>
      <c r="J37" s="357" t="s">
        <v>601</v>
      </c>
    </row>
    <row r="38" spans="6:23">
      <c r="G38" s="357">
        <f t="shared" si="5"/>
        <v>84500</v>
      </c>
      <c r="H38" s="357" t="s">
        <v>657</v>
      </c>
      <c r="I38" s="357">
        <v>224500</v>
      </c>
      <c r="J38" s="357" t="s">
        <v>656</v>
      </c>
    </row>
    <row r="39" spans="6:23">
      <c r="G39" s="357">
        <f t="shared" si="5"/>
        <v>119000</v>
      </c>
      <c r="H39" s="357" t="s">
        <v>683</v>
      </c>
      <c r="I39" s="357">
        <v>190000</v>
      </c>
      <c r="J39" s="357" t="s">
        <v>682</v>
      </c>
    </row>
    <row r="40" spans="6:23">
      <c r="G40" s="357">
        <f t="shared" si="5"/>
        <v>4300</v>
      </c>
      <c r="H40" s="357" t="s">
        <v>6770</v>
      </c>
      <c r="I40" s="357">
        <v>304700</v>
      </c>
      <c r="J40" s="357" t="s">
        <v>680</v>
      </c>
    </row>
    <row r="41" spans="6:23">
      <c r="G41" s="357">
        <f t="shared" si="5"/>
        <v>8000</v>
      </c>
      <c r="H41" s="357" t="s">
        <v>6698</v>
      </c>
      <c r="I41" s="357">
        <v>301000</v>
      </c>
      <c r="J41" s="357" t="s">
        <v>715</v>
      </c>
      <c r="O41" s="46"/>
      <c r="Q41" s="46"/>
      <c r="R41" s="46"/>
      <c r="S41" s="7"/>
      <c r="T41" s="7"/>
      <c r="U41" s="7"/>
      <c r="V41" s="7"/>
      <c r="W41" s="7"/>
    </row>
    <row r="42" spans="6:23">
      <c r="G42" s="357">
        <f t="shared" si="5"/>
        <v>93000</v>
      </c>
      <c r="H42" s="357" t="s">
        <v>716</v>
      </c>
      <c r="I42" s="357">
        <v>216000</v>
      </c>
      <c r="J42" s="357" t="s">
        <v>717</v>
      </c>
      <c r="O42" s="46"/>
      <c r="Q42" s="46"/>
      <c r="R42" s="46"/>
      <c r="S42" s="7"/>
      <c r="T42" s="7"/>
      <c r="V42" s="7"/>
      <c r="W42" s="7"/>
    </row>
    <row r="43" spans="6:23">
      <c r="G43" s="357">
        <f t="shared" si="5"/>
        <v>82000</v>
      </c>
      <c r="H43" s="357" t="s">
        <v>738</v>
      </c>
      <c r="I43" s="357">
        <v>227000</v>
      </c>
      <c r="J43" s="357" t="s">
        <v>739</v>
      </c>
      <c r="Q43" s="7"/>
      <c r="S43" s="7"/>
    </row>
    <row r="44" spans="6:23">
      <c r="G44" s="357">
        <f t="shared" si="5"/>
        <v>80000</v>
      </c>
      <c r="H44" s="357" t="s">
        <v>799</v>
      </c>
      <c r="I44" s="357">
        <v>229000</v>
      </c>
      <c r="J44" s="357" t="s">
        <v>443</v>
      </c>
    </row>
    <row r="45" spans="6:23">
      <c r="G45" s="357">
        <f t="shared" si="5"/>
        <v>78000</v>
      </c>
      <c r="H45" s="357" t="s">
        <v>1021</v>
      </c>
      <c r="I45" s="357">
        <v>231000</v>
      </c>
      <c r="J45" s="357" t="s">
        <v>1020</v>
      </c>
      <c r="S45" s="7"/>
    </row>
    <row r="46" spans="6:23">
      <c r="G46" s="357">
        <f t="shared" si="5"/>
        <v>60800</v>
      </c>
      <c r="H46" s="357" t="s">
        <v>4599</v>
      </c>
      <c r="I46" s="357">
        <v>248200</v>
      </c>
      <c r="J46" s="357" t="s">
        <v>4608</v>
      </c>
    </row>
    <row r="47" spans="6:23">
      <c r="G47" s="357">
        <f t="shared" si="5"/>
        <v>52000</v>
      </c>
      <c r="H47" s="357" t="s">
        <v>4974</v>
      </c>
      <c r="I47" s="357">
        <v>257000</v>
      </c>
      <c r="J47" s="357" t="s">
        <v>5005</v>
      </c>
    </row>
    <row r="48" spans="6:23">
      <c r="G48" s="357">
        <f t="shared" si="5"/>
        <v>8000</v>
      </c>
      <c r="H48" s="357" t="s">
        <v>6718</v>
      </c>
      <c r="I48" s="357">
        <v>301000</v>
      </c>
      <c r="J48" s="357" t="s">
        <v>6147</v>
      </c>
    </row>
    <row r="49" spans="7:21">
      <c r="G49" s="357">
        <f t="shared" si="5"/>
        <v>5800</v>
      </c>
      <c r="H49" s="357" t="s">
        <v>6745</v>
      </c>
      <c r="I49" s="357">
        <v>303200</v>
      </c>
      <c r="J49" s="357" t="s">
        <v>5572</v>
      </c>
    </row>
    <row r="50" spans="7:21">
      <c r="G50" s="357">
        <f t="shared" si="5"/>
        <v>4300</v>
      </c>
      <c r="H50" s="357" t="s">
        <v>6770</v>
      </c>
      <c r="I50" s="357">
        <v>304700</v>
      </c>
      <c r="J50" s="357" t="s">
        <v>6764</v>
      </c>
      <c r="O50" t="s">
        <v>25</v>
      </c>
    </row>
    <row r="51" spans="7:21">
      <c r="G51" s="170">
        <f t="shared" si="5"/>
        <v>0</v>
      </c>
      <c r="H51" s="170" t="s">
        <v>6852</v>
      </c>
      <c r="I51" s="170">
        <v>309000</v>
      </c>
      <c r="J51" s="170" t="s">
        <v>6856</v>
      </c>
      <c r="Q51" s="46"/>
      <c r="S51" s="46"/>
      <c r="U51" s="7"/>
    </row>
    <row r="52" spans="7:21">
      <c r="G52" s="170">
        <f t="shared" si="5"/>
        <v>7000</v>
      </c>
      <c r="H52" s="170" t="s">
        <v>6858</v>
      </c>
      <c r="I52" s="170">
        <v>302000</v>
      </c>
      <c r="J52" s="170" t="s">
        <v>6857</v>
      </c>
      <c r="O52" s="45"/>
      <c r="Q52" s="46"/>
      <c r="S52" s="46"/>
      <c r="U52" s="7"/>
    </row>
    <row r="53" spans="7:21">
      <c r="G53" s="357"/>
      <c r="H53" s="357" t="s">
        <v>6748</v>
      </c>
      <c r="I53" s="357">
        <v>309000</v>
      </c>
      <c r="J53" s="357" t="s">
        <v>529</v>
      </c>
      <c r="M53" t="s">
        <v>25</v>
      </c>
      <c r="O53" s="45"/>
      <c r="Q53" s="46"/>
      <c r="S53" s="46"/>
    </row>
    <row r="54" spans="7:21">
      <c r="Q54" s="46"/>
      <c r="S54" s="46"/>
    </row>
    <row r="55" spans="7:21">
      <c r="Q55" s="46"/>
      <c r="S55" s="46"/>
      <c r="U55" s="7"/>
    </row>
    <row r="56" spans="7:21">
      <c r="Q56" s="46"/>
      <c r="S56" s="46"/>
    </row>
    <row r="57" spans="7:21">
      <c r="G57" s="357" t="s">
        <v>528</v>
      </c>
      <c r="H57" s="357" t="s">
        <v>180</v>
      </c>
      <c r="I57" s="357" t="s">
        <v>527</v>
      </c>
      <c r="J57" s="357" t="s">
        <v>5376</v>
      </c>
      <c r="Q57" s="46"/>
      <c r="S57" s="46"/>
    </row>
    <row r="58" spans="7:21">
      <c r="G58" s="357">
        <f>$I$81-I58</f>
        <v>34500</v>
      </c>
      <c r="H58" s="357" t="s">
        <v>5159</v>
      </c>
      <c r="I58" s="357">
        <v>38000</v>
      </c>
      <c r="J58" s="357" t="s">
        <v>522</v>
      </c>
      <c r="Q58" s="46"/>
      <c r="S58" s="46"/>
    </row>
    <row r="59" spans="7:21">
      <c r="G59" s="357">
        <f t="shared" ref="G59:G76" si="6">$I$81-I59</f>
        <v>34500</v>
      </c>
      <c r="H59" s="357" t="s">
        <v>5159</v>
      </c>
      <c r="I59" s="357">
        <v>38000</v>
      </c>
      <c r="J59" s="357" t="s">
        <v>523</v>
      </c>
      <c r="Q59" s="46"/>
      <c r="S59" s="46"/>
    </row>
    <row r="60" spans="7:21">
      <c r="G60" s="170">
        <f t="shared" si="6"/>
        <v>9500</v>
      </c>
      <c r="H60" s="170" t="s">
        <v>6743</v>
      </c>
      <c r="I60" s="170">
        <v>63000</v>
      </c>
      <c r="J60" s="170" t="s">
        <v>442</v>
      </c>
      <c r="Q60" s="46"/>
      <c r="S60" s="46"/>
    </row>
    <row r="61" spans="7:21">
      <c r="G61" s="357">
        <f t="shared" si="6"/>
        <v>42500</v>
      </c>
      <c r="H61" s="399" t="s">
        <v>721</v>
      </c>
      <c r="I61" s="357">
        <v>30000</v>
      </c>
      <c r="J61" s="357" t="s">
        <v>517</v>
      </c>
      <c r="Q61" s="46"/>
      <c r="S61" s="46"/>
    </row>
    <row r="62" spans="7:21">
      <c r="G62" s="357">
        <f t="shared" si="6"/>
        <v>9500</v>
      </c>
      <c r="H62" s="357" t="s">
        <v>6743</v>
      </c>
      <c r="I62" s="357">
        <v>63000</v>
      </c>
      <c r="J62" s="357" t="s">
        <v>524</v>
      </c>
      <c r="S62" s="46"/>
    </row>
    <row r="63" spans="7:21">
      <c r="G63" s="357">
        <f t="shared" si="6"/>
        <v>30000</v>
      </c>
      <c r="H63" s="357" t="s">
        <v>5545</v>
      </c>
      <c r="I63" s="357">
        <v>42500</v>
      </c>
      <c r="J63" s="357" t="s">
        <v>525</v>
      </c>
      <c r="S63" s="7"/>
    </row>
    <row r="64" spans="7:21">
      <c r="G64" s="357">
        <f t="shared" si="6"/>
        <v>9500</v>
      </c>
      <c r="H64" s="357" t="s">
        <v>6743</v>
      </c>
      <c r="I64" s="357">
        <v>63000</v>
      </c>
      <c r="J64" s="357" t="s">
        <v>526</v>
      </c>
      <c r="N64" t="s">
        <v>25</v>
      </c>
    </row>
    <row r="65" spans="7:17">
      <c r="G65" s="357">
        <f t="shared" si="6"/>
        <v>72500</v>
      </c>
      <c r="H65" s="357" t="s">
        <v>5201</v>
      </c>
      <c r="I65" s="357">
        <v>0</v>
      </c>
      <c r="J65" s="357" t="s">
        <v>592</v>
      </c>
    </row>
    <row r="66" spans="7:17">
      <c r="G66" s="357">
        <f t="shared" si="6"/>
        <v>22000</v>
      </c>
      <c r="H66" s="357" t="s">
        <v>6049</v>
      </c>
      <c r="I66" s="357">
        <v>50500</v>
      </c>
      <c r="J66" s="357" t="s">
        <v>601</v>
      </c>
    </row>
    <row r="67" spans="7:17">
      <c r="G67" s="357">
        <f t="shared" si="6"/>
        <v>72500</v>
      </c>
      <c r="H67" s="357" t="s">
        <v>657</v>
      </c>
      <c r="I67" s="357">
        <v>0</v>
      </c>
      <c r="J67" s="357" t="s">
        <v>656</v>
      </c>
    </row>
    <row r="68" spans="7:17">
      <c r="G68" s="357">
        <f t="shared" si="6"/>
        <v>72500</v>
      </c>
      <c r="H68" s="357" t="s">
        <v>683</v>
      </c>
      <c r="I68" s="357">
        <v>0</v>
      </c>
      <c r="J68" s="357" t="s">
        <v>682</v>
      </c>
      <c r="M68" t="s">
        <v>25</v>
      </c>
    </row>
    <row r="69" spans="7:17">
      <c r="G69" s="357">
        <f t="shared" si="6"/>
        <v>72500</v>
      </c>
      <c r="H69" s="357" t="s">
        <v>681</v>
      </c>
      <c r="I69" s="357">
        <v>0</v>
      </c>
      <c r="J69" s="357" t="s">
        <v>680</v>
      </c>
    </row>
    <row r="70" spans="7:17">
      <c r="G70" s="357">
        <f t="shared" si="6"/>
        <v>72500</v>
      </c>
      <c r="H70" s="357" t="s">
        <v>1021</v>
      </c>
      <c r="I70" s="357">
        <v>0</v>
      </c>
      <c r="J70" s="357" t="s">
        <v>715</v>
      </c>
    </row>
    <row r="71" spans="7:17">
      <c r="G71" s="357">
        <f t="shared" si="6"/>
        <v>22000</v>
      </c>
      <c r="H71" s="357" t="s">
        <v>6049</v>
      </c>
      <c r="I71" s="357">
        <v>50500</v>
      </c>
      <c r="J71" s="357" t="s">
        <v>6147</v>
      </c>
    </row>
    <row r="72" spans="7:17">
      <c r="G72" s="357">
        <f t="shared" si="6"/>
        <v>72500</v>
      </c>
      <c r="H72" s="357" t="s">
        <v>738</v>
      </c>
      <c r="I72" s="357">
        <v>0</v>
      </c>
      <c r="J72" s="357" t="s">
        <v>739</v>
      </c>
    </row>
    <row r="73" spans="7:17">
      <c r="G73" s="357">
        <f t="shared" si="6"/>
        <v>72500</v>
      </c>
      <c r="H73" s="357" t="s">
        <v>799</v>
      </c>
      <c r="I73" s="357">
        <v>0</v>
      </c>
      <c r="J73" s="357" t="s">
        <v>443</v>
      </c>
      <c r="M73" t="s">
        <v>25</v>
      </c>
    </row>
    <row r="74" spans="7:17">
      <c r="G74" s="357">
        <f t="shared" si="6"/>
        <v>0</v>
      </c>
      <c r="H74" s="357" t="s">
        <v>6855</v>
      </c>
      <c r="I74" s="357">
        <v>72500</v>
      </c>
      <c r="J74" s="357" t="s">
        <v>1020</v>
      </c>
    </row>
    <row r="75" spans="7:17">
      <c r="G75" s="357">
        <f t="shared" si="6"/>
        <v>72500</v>
      </c>
      <c r="H75" s="357" t="s">
        <v>4599</v>
      </c>
      <c r="I75" s="357">
        <v>0</v>
      </c>
      <c r="J75" s="357" t="s">
        <v>4608</v>
      </c>
    </row>
    <row r="76" spans="7:17">
      <c r="G76" s="357">
        <f t="shared" si="6"/>
        <v>72500</v>
      </c>
      <c r="H76" s="357" t="s">
        <v>4974</v>
      </c>
      <c r="I76" s="357">
        <v>0</v>
      </c>
      <c r="J76" s="357" t="s">
        <v>5005</v>
      </c>
      <c r="N76" t="s">
        <v>25</v>
      </c>
    </row>
    <row r="77" spans="7:17">
      <c r="G77" s="357">
        <f>$I$81-I77</f>
        <v>9500</v>
      </c>
      <c r="H77" s="357" t="s">
        <v>6743</v>
      </c>
      <c r="I77" s="357">
        <v>63000</v>
      </c>
      <c r="J77" s="357" t="s">
        <v>6744</v>
      </c>
    </row>
    <row r="78" spans="7:17">
      <c r="G78" s="357">
        <f>$I$81-I78</f>
        <v>6500</v>
      </c>
      <c r="H78" s="357" t="s">
        <v>6763</v>
      </c>
      <c r="I78" s="357">
        <v>66000</v>
      </c>
      <c r="J78" s="357" t="s">
        <v>6764</v>
      </c>
      <c r="Q78" s="398"/>
    </row>
    <row r="79" spans="7:17">
      <c r="G79" s="170"/>
      <c r="H79" s="170" t="s">
        <v>6859</v>
      </c>
      <c r="I79" s="170"/>
      <c r="J79" s="170" t="s">
        <v>6856</v>
      </c>
    </row>
    <row r="80" spans="7:17">
      <c r="G80" s="170"/>
      <c r="H80" s="170" t="s">
        <v>6860</v>
      </c>
      <c r="I80" s="170"/>
      <c r="J80" s="170" t="s">
        <v>6857</v>
      </c>
    </row>
    <row r="81" spans="7:10">
      <c r="G81" s="357"/>
      <c r="H81" s="357" t="s">
        <v>6598</v>
      </c>
      <c r="I81" s="357">
        <v>72500</v>
      </c>
      <c r="J81" s="357"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80" t="s">
        <v>1007</v>
      </c>
      <c r="R21" s="580"/>
      <c r="S21" s="580"/>
      <c r="T21" s="580"/>
      <c r="W21" s="36" t="s">
        <v>4822</v>
      </c>
      <c r="X21" s="36">
        <v>9035210431</v>
      </c>
      <c r="Y21" s="36">
        <v>50</v>
      </c>
      <c r="Z21" s="36" t="s">
        <v>5082</v>
      </c>
      <c r="AA21" t="s">
        <v>4840</v>
      </c>
    </row>
    <row r="22" spans="5:30">
      <c r="O22" s="11"/>
      <c r="P22" s="11"/>
      <c r="Q22" s="580"/>
      <c r="R22" s="580"/>
      <c r="S22" s="580"/>
      <c r="T22" s="580"/>
      <c r="W22" s="36" t="s">
        <v>4908</v>
      </c>
      <c r="X22" s="36">
        <v>9909620343</v>
      </c>
      <c r="Y22" s="36">
        <v>200</v>
      </c>
      <c r="Z22" s="36" t="s">
        <v>5083</v>
      </c>
      <c r="AA22" t="s">
        <v>5086</v>
      </c>
      <c r="AB22" s="36" t="s">
        <v>5094</v>
      </c>
    </row>
    <row r="23" spans="5:30" ht="15.75">
      <c r="O23" s="123"/>
      <c r="P23" s="11" t="s">
        <v>3997</v>
      </c>
      <c r="Q23" s="581" t="s">
        <v>1008</v>
      </c>
      <c r="R23" s="582" t="s">
        <v>1009</v>
      </c>
      <c r="S23" s="581" t="s">
        <v>1010</v>
      </c>
      <c r="T23" s="583" t="s">
        <v>1011</v>
      </c>
      <c r="W23" s="36" t="s">
        <v>4909</v>
      </c>
      <c r="X23" s="36">
        <v>9378807702</v>
      </c>
      <c r="Y23" s="36">
        <v>0</v>
      </c>
      <c r="Z23" s="36">
        <v>0</v>
      </c>
      <c r="AD23" t="s">
        <v>25</v>
      </c>
    </row>
    <row r="24" spans="5:30">
      <c r="O24" s="11"/>
      <c r="P24" s="11"/>
      <c r="Q24" s="581"/>
      <c r="R24" s="582"/>
      <c r="S24" s="581"/>
      <c r="T24" s="583"/>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6766</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6767</v>
      </c>
      <c r="Z31" s="36" t="s">
        <v>5082</v>
      </c>
      <c r="AA31" t="s">
        <v>6003</v>
      </c>
      <c r="AB31" s="36" t="s">
        <v>6765</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188"/>
  <sheetViews>
    <sheetView zoomScale="85" zoomScaleNormal="85" workbookViewId="0">
      <selection activeCell="D3" sqref="D3"/>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7052</v>
      </c>
      <c r="B1" s="225" t="s">
        <v>4134</v>
      </c>
      <c r="C1" s="224">
        <v>2055</v>
      </c>
      <c r="D1" s="302">
        <v>130571</v>
      </c>
      <c r="E1" s="438" t="s">
        <v>4542</v>
      </c>
      <c r="F1" s="439">
        <v>530</v>
      </c>
      <c r="G1" s="498">
        <f>C1*D1*0.9912/(F1*1.003631981)</f>
        <v>499999.40606470883</v>
      </c>
      <c r="H1" s="440">
        <f>C1/F1</f>
        <v>3.8773584905660377</v>
      </c>
      <c r="I1" s="440">
        <f>$O$22/$O$24</f>
        <v>3.6138790035587189</v>
      </c>
      <c r="J1" s="440">
        <f t="shared" ref="J1" si="0">I1/H1</f>
        <v>0.93204665298594702</v>
      </c>
      <c r="K1" s="438">
        <f t="shared" ref="K1" si="1">(1/J1-1.0256)*100</f>
        <v>4.7307667010395349</v>
      </c>
      <c r="L1" s="514"/>
      <c r="M1" s="556"/>
      <c r="O1" s="563" t="s">
        <v>7046</v>
      </c>
      <c r="P1">
        <v>70</v>
      </c>
    </row>
    <row r="2" spans="1:25" ht="18.75">
      <c r="A2" s="229" t="s">
        <v>7053</v>
      </c>
      <c r="B2" s="225" t="s">
        <v>4134</v>
      </c>
      <c r="C2" s="224">
        <v>2093.3000000000002</v>
      </c>
      <c r="D2" s="302">
        <v>84954</v>
      </c>
      <c r="E2" s="438" t="s">
        <v>4542</v>
      </c>
      <c r="F2" s="439">
        <v>529</v>
      </c>
      <c r="G2" s="498">
        <f>C2*D2*0.9912/(F2*1.003631981)</f>
        <v>332006.38439003559</v>
      </c>
      <c r="H2" s="440">
        <f>C2/F2</f>
        <v>3.9570888468809078</v>
      </c>
      <c r="I2" s="440">
        <f>$O$22/$O$24</f>
        <v>3.6138790035587189</v>
      </c>
      <c r="J2" s="440">
        <f t="shared" ref="J2" si="2">I2/H2</f>
        <v>0.91326708684018632</v>
      </c>
      <c r="K2" s="438">
        <f t="shared" ref="K2" si="3">(1/J2-1.0256)*100</f>
        <v>6.9369932027114833</v>
      </c>
      <c r="L2" s="514"/>
      <c r="M2" s="556"/>
      <c r="O2" s="563" t="s">
        <v>4163</v>
      </c>
      <c r="P2">
        <v>860</v>
      </c>
      <c r="R2" s="7"/>
      <c r="S2" s="358" t="s">
        <v>6783</v>
      </c>
    </row>
    <row r="3" spans="1:25" ht="18.75">
      <c r="A3" s="229"/>
      <c r="B3" s="225"/>
      <c r="C3" s="224"/>
      <c r="D3" s="302"/>
      <c r="E3" s="438"/>
      <c r="F3" s="439"/>
      <c r="G3" s="498"/>
      <c r="H3" s="440"/>
      <c r="I3" s="440"/>
      <c r="J3" s="440"/>
      <c r="K3" s="438"/>
      <c r="L3" s="514"/>
      <c r="M3" s="556"/>
      <c r="N3" s="343"/>
      <c r="O3" s="563" t="s">
        <v>6932</v>
      </c>
      <c r="P3">
        <f>P1/P2</f>
        <v>8.1395348837209308E-2</v>
      </c>
    </row>
    <row r="4" spans="1:25">
      <c r="M4" s="571"/>
    </row>
    <row r="5" spans="1:25" ht="21">
      <c r="A5" s="571"/>
      <c r="B5" s="571"/>
      <c r="C5" s="571"/>
      <c r="D5" s="571"/>
      <c r="E5" s="571"/>
      <c r="F5" s="571"/>
      <c r="G5" s="571"/>
      <c r="H5" s="571"/>
      <c r="I5" s="571"/>
      <c r="J5" s="571"/>
      <c r="K5" s="571"/>
      <c r="L5" s="571"/>
      <c r="M5" s="579"/>
      <c r="N5" s="505" t="s">
        <v>7042</v>
      </c>
      <c r="O5" s="506">
        <v>250</v>
      </c>
    </row>
    <row r="6" spans="1:25" ht="21">
      <c r="A6" s="571"/>
      <c r="B6" s="571"/>
      <c r="C6" s="571"/>
      <c r="D6" s="571"/>
      <c r="E6" s="571"/>
      <c r="F6" s="571"/>
      <c r="G6" s="571"/>
      <c r="H6" s="571"/>
      <c r="I6" s="571"/>
      <c r="J6" s="571"/>
      <c r="K6" s="571"/>
      <c r="L6" s="571"/>
      <c r="M6" s="579"/>
      <c r="N6" s="505" t="s">
        <v>7041</v>
      </c>
      <c r="O6" s="506">
        <v>150</v>
      </c>
    </row>
    <row r="7" spans="1:25" ht="21.75" thickBot="1">
      <c r="A7" s="574" t="s">
        <v>7052</v>
      </c>
      <c r="B7" s="369" t="s">
        <v>5139</v>
      </c>
      <c r="C7" s="226">
        <v>793</v>
      </c>
      <c r="D7" s="372">
        <v>763462</v>
      </c>
      <c r="E7" s="575" t="s">
        <v>4134</v>
      </c>
      <c r="F7" s="576">
        <v>2055</v>
      </c>
      <c r="G7" s="302">
        <f t="shared" ref="G7:G15" si="4">C7*D7*0.9912/(F7*1.003631981)</f>
        <v>290961.54113262735</v>
      </c>
      <c r="H7" s="522">
        <f t="shared" ref="H7:H15" si="5">C7/F7</f>
        <v>0.3858880778588808</v>
      </c>
      <c r="I7" s="577">
        <f t="shared" ref="I7:I15" si="6">$O$23/$O$22</f>
        <v>0.42169626601628246</v>
      </c>
      <c r="J7" s="522">
        <f t="shared" ref="J7" si="7">I7/H7</f>
        <v>1.0927942328669109</v>
      </c>
      <c r="K7" s="578">
        <f t="shared" ref="K7" si="8">(1/J7-1.0256)*100</f>
        <v>-11.051464365022156</v>
      </c>
      <c r="L7" s="514"/>
      <c r="M7" s="347"/>
      <c r="N7" s="505" t="s">
        <v>7034</v>
      </c>
      <c r="O7" s="506">
        <v>4.5</v>
      </c>
      <c r="S7" t="s">
        <v>6608</v>
      </c>
    </row>
    <row r="8" spans="1:25" ht="21">
      <c r="A8" s="574" t="s">
        <v>7052</v>
      </c>
      <c r="B8" s="369" t="s">
        <v>5139</v>
      </c>
      <c r="C8" s="226">
        <v>793</v>
      </c>
      <c r="D8" s="372">
        <v>296056</v>
      </c>
      <c r="E8" s="575" t="s">
        <v>4134</v>
      </c>
      <c r="F8" s="576">
        <v>2055</v>
      </c>
      <c r="G8" s="302">
        <f t="shared" si="4"/>
        <v>112829.33534551966</v>
      </c>
      <c r="H8" s="522">
        <f t="shared" si="5"/>
        <v>0.3858880778588808</v>
      </c>
      <c r="I8" s="577">
        <f t="shared" si="6"/>
        <v>0.42169626601628246</v>
      </c>
      <c r="J8" s="522">
        <f t="shared" ref="J8" si="9">I8/H8</f>
        <v>1.0927942328669109</v>
      </c>
      <c r="K8" s="578">
        <f t="shared" ref="K8" si="10">(1/J8-1.0256)*100</f>
        <v>-11.051464365022156</v>
      </c>
      <c r="L8" s="514"/>
      <c r="M8" s="347"/>
      <c r="N8" s="505" t="s">
        <v>7033</v>
      </c>
      <c r="O8" s="506">
        <v>0.9</v>
      </c>
      <c r="P8" s="324" t="s">
        <v>6809</v>
      </c>
      <c r="Q8" s="325">
        <f>Q10*Q11*1.003631981/(Q9*0.9912)</f>
        <v>114969.8578087394</v>
      </c>
      <c r="W8" t="s">
        <v>25</v>
      </c>
    </row>
    <row r="9" spans="1:25" ht="21">
      <c r="A9" s="574" t="s">
        <v>7053</v>
      </c>
      <c r="B9" s="369" t="s">
        <v>5139</v>
      </c>
      <c r="C9" s="226">
        <v>790</v>
      </c>
      <c r="D9" s="372">
        <v>949989</v>
      </c>
      <c r="E9" s="575" t="s">
        <v>4134</v>
      </c>
      <c r="F9" s="576">
        <v>2093.3000000000002</v>
      </c>
      <c r="G9" s="302">
        <f t="shared" si="4"/>
        <v>354079.67342757504</v>
      </c>
      <c r="H9" s="522">
        <f t="shared" si="5"/>
        <v>0.37739454449911619</v>
      </c>
      <c r="I9" s="577">
        <f t="shared" si="6"/>
        <v>0.42169626601628246</v>
      </c>
      <c r="J9" s="522">
        <f t="shared" ref="J9" si="11">I9/H9</f>
        <v>1.11738834639479</v>
      </c>
      <c r="K9" s="578">
        <f t="shared" ref="K9" si="12">(1/J9-1.0256)*100</f>
        <v>-13.065599666717398</v>
      </c>
      <c r="L9" s="514"/>
      <c r="M9" s="347"/>
      <c r="N9" s="512" t="s">
        <v>6921</v>
      </c>
      <c r="O9" s="513">
        <v>0.4</v>
      </c>
      <c r="P9" s="326" t="s">
        <v>6808</v>
      </c>
      <c r="Q9" s="327">
        <v>2668</v>
      </c>
    </row>
    <row r="10" spans="1:25" ht="21">
      <c r="A10" s="574" t="s">
        <v>7053</v>
      </c>
      <c r="B10" s="369" t="s">
        <v>5139</v>
      </c>
      <c r="C10" s="226">
        <v>790</v>
      </c>
      <c r="D10" s="372">
        <v>107553</v>
      </c>
      <c r="E10" s="575" t="s">
        <v>4134</v>
      </c>
      <c r="F10" s="576">
        <v>2093</v>
      </c>
      <c r="G10" s="302">
        <f t="shared" si="4"/>
        <v>40092.874385141586</v>
      </c>
      <c r="H10" s="522">
        <f t="shared" si="5"/>
        <v>0.37744863831820352</v>
      </c>
      <c r="I10" s="577">
        <f t="shared" si="6"/>
        <v>0.42169626601628246</v>
      </c>
      <c r="J10" s="522">
        <f t="shared" ref="J10" si="13">I10/H10</f>
        <v>1.1172282085722522</v>
      </c>
      <c r="K10" s="578">
        <f t="shared" ref="K10" si="14">(1/J10-1.0256)*100</f>
        <v>-13.052771993473266</v>
      </c>
      <c r="L10" s="514"/>
      <c r="M10" s="347"/>
      <c r="N10" s="512" t="s">
        <v>7018</v>
      </c>
      <c r="O10" s="513">
        <v>0.1</v>
      </c>
      <c r="P10" s="326" t="s">
        <v>6810</v>
      </c>
      <c r="Q10" s="327">
        <v>765000</v>
      </c>
    </row>
    <row r="11" spans="1:25" ht="21.75" thickBot="1">
      <c r="A11" s="574" t="s">
        <v>7055</v>
      </c>
      <c r="B11" s="369" t="s">
        <v>5139</v>
      </c>
      <c r="C11" s="226">
        <v>792</v>
      </c>
      <c r="D11" s="372">
        <v>78279</v>
      </c>
      <c r="E11" s="575" t="s">
        <v>4134</v>
      </c>
      <c r="F11" s="576">
        <v>2103</v>
      </c>
      <c r="G11" s="302">
        <f t="shared" si="4"/>
        <v>29115.079445126827</v>
      </c>
      <c r="H11" s="522">
        <f t="shared" si="5"/>
        <v>0.37660485021398005</v>
      </c>
      <c r="I11" s="577">
        <f t="shared" si="6"/>
        <v>0.42169626601628246</v>
      </c>
      <c r="J11" s="522">
        <f t="shared" ref="J11" si="15">I11/H11</f>
        <v>1.1197313730205076</v>
      </c>
      <c r="K11" s="578">
        <f t="shared" ref="K11" si="16">(1/J11-1.0256)*100</f>
        <v>-13.2528657984753</v>
      </c>
      <c r="L11" s="514"/>
      <c r="M11" s="347"/>
      <c r="N11" s="511" t="s">
        <v>7030</v>
      </c>
      <c r="O11" s="313">
        <v>1.9</v>
      </c>
      <c r="P11" s="328" t="s">
        <v>6811</v>
      </c>
      <c r="Q11" s="329">
        <v>396</v>
      </c>
    </row>
    <row r="12" spans="1:25" ht="21">
      <c r="A12" s="574" t="s">
        <v>7055</v>
      </c>
      <c r="B12" s="369" t="s">
        <v>5139</v>
      </c>
      <c r="C12" s="226">
        <v>792</v>
      </c>
      <c r="D12" s="372">
        <v>11155</v>
      </c>
      <c r="E12" s="575" t="s">
        <v>4134</v>
      </c>
      <c r="F12" s="576">
        <v>2103</v>
      </c>
      <c r="G12" s="302">
        <f t="shared" si="4"/>
        <v>4148.9890163439713</v>
      </c>
      <c r="H12" s="522">
        <f t="shared" si="5"/>
        <v>0.37660485021398005</v>
      </c>
      <c r="I12" s="577">
        <f t="shared" si="6"/>
        <v>0.42169626601628246</v>
      </c>
      <c r="J12" s="522">
        <f t="shared" ref="J12" si="17">I12/H12</f>
        <v>1.1197313730205076</v>
      </c>
      <c r="K12" s="578">
        <f t="shared" ref="K12" si="18">(1/J12-1.0256)*100</f>
        <v>-13.2528657984753</v>
      </c>
      <c r="L12" s="514"/>
      <c r="M12" s="347"/>
      <c r="N12" s="511" t="s">
        <v>7015</v>
      </c>
      <c r="O12" s="313">
        <v>1.9</v>
      </c>
    </row>
    <row r="13" spans="1:25" ht="21">
      <c r="A13" s="574" t="s">
        <v>7055</v>
      </c>
      <c r="B13" s="369" t="s">
        <v>5139</v>
      </c>
      <c r="C13" s="226">
        <v>792</v>
      </c>
      <c r="D13" s="372">
        <v>22919</v>
      </c>
      <c r="E13" s="575" t="s">
        <v>4134</v>
      </c>
      <c r="F13" s="576">
        <v>2103</v>
      </c>
      <c r="G13" s="302">
        <f t="shared" si="4"/>
        <v>8524.4894007698331</v>
      </c>
      <c r="H13" s="522">
        <f t="shared" si="5"/>
        <v>0.37660485021398005</v>
      </c>
      <c r="I13" s="577">
        <f t="shared" si="6"/>
        <v>0.42169626601628246</v>
      </c>
      <c r="J13" s="522">
        <f t="shared" ref="J13" si="19">I13/H13</f>
        <v>1.1197313730205076</v>
      </c>
      <c r="K13" s="578">
        <f t="shared" ref="K13" si="20">(1/J13-1.0256)*100</f>
        <v>-13.2528657984753</v>
      </c>
      <c r="L13" s="514"/>
      <c r="M13" s="347"/>
      <c r="N13" s="511" t="s">
        <v>7038</v>
      </c>
      <c r="O13" s="313">
        <v>3</v>
      </c>
    </row>
    <row r="14" spans="1:25" ht="21">
      <c r="A14" s="574" t="s">
        <v>7055</v>
      </c>
      <c r="B14" s="369" t="s">
        <v>5139</v>
      </c>
      <c r="C14" s="226">
        <v>792</v>
      </c>
      <c r="D14" s="372">
        <v>262448</v>
      </c>
      <c r="E14" s="575" t="s">
        <v>4134</v>
      </c>
      <c r="F14" s="576">
        <v>2101</v>
      </c>
      <c r="G14" s="302">
        <f t="shared" si="4"/>
        <v>97707.79180165063</v>
      </c>
      <c r="H14" s="522">
        <f t="shared" si="5"/>
        <v>0.37696335078534032</v>
      </c>
      <c r="I14" s="577">
        <f t="shared" si="6"/>
        <v>0.42169626601628246</v>
      </c>
      <c r="J14" s="522">
        <f t="shared" ref="J14" si="21">I14/H14</f>
        <v>1.1186664834598603</v>
      </c>
      <c r="K14" s="578">
        <f t="shared" ref="K14" si="22">(1/J14-1.0256)*100</f>
        <v>-13.167851867774171</v>
      </c>
      <c r="L14" s="514"/>
      <c r="M14" s="347"/>
      <c r="N14" s="511" t="s">
        <v>6938</v>
      </c>
      <c r="O14" s="313">
        <v>1.3</v>
      </c>
      <c r="U14" s="496"/>
      <c r="Y14" t="s">
        <v>25</v>
      </c>
    </row>
    <row r="15" spans="1:25" ht="21">
      <c r="A15" s="574" t="s">
        <v>7056</v>
      </c>
      <c r="B15" s="369" t="s">
        <v>5139</v>
      </c>
      <c r="C15" s="226">
        <v>795</v>
      </c>
      <c r="D15" s="372">
        <v>291252</v>
      </c>
      <c r="E15" s="575" t="s">
        <v>4134</v>
      </c>
      <c r="F15" s="576">
        <v>2036.7</v>
      </c>
      <c r="G15" s="302">
        <f t="shared" si="4"/>
        <v>112278.28830928204</v>
      </c>
      <c r="H15" s="522">
        <f t="shared" si="5"/>
        <v>0.39033731035498598</v>
      </c>
      <c r="I15" s="577">
        <f t="shared" si="6"/>
        <v>0.42169626601628246</v>
      </c>
      <c r="J15" s="522">
        <f t="shared" ref="J15" si="23">I15/H15</f>
        <v>1.0803380943337895</v>
      </c>
      <c r="K15" s="578">
        <f t="shared" ref="K15" si="24">(1/J15-1.0256)*100</f>
        <v>-9.9963844758553577</v>
      </c>
      <c r="L15" s="514"/>
      <c r="M15" s="347"/>
      <c r="N15" s="333" t="s">
        <v>6923</v>
      </c>
      <c r="O15" s="314">
        <v>15</v>
      </c>
      <c r="U15" s="496"/>
      <c r="W15" t="s">
        <v>25</v>
      </c>
    </row>
    <row r="16" spans="1:25" ht="18.75">
      <c r="A16" s="229"/>
      <c r="B16" s="225"/>
      <c r="C16" s="224"/>
      <c r="D16" s="302"/>
      <c r="E16" s="438"/>
      <c r="F16" s="439"/>
      <c r="G16" s="498"/>
      <c r="H16" s="440"/>
      <c r="I16" s="497"/>
      <c r="J16" s="440"/>
      <c r="K16" s="441"/>
      <c r="L16" s="514"/>
      <c r="M16" s="347"/>
      <c r="N16" s="501" t="s">
        <v>6897</v>
      </c>
      <c r="O16" s="501">
        <v>0.1</v>
      </c>
      <c r="S16" s="368"/>
      <c r="T16" s="368"/>
      <c r="W16" t="s">
        <v>25</v>
      </c>
    </row>
    <row r="17" spans="1:28" ht="23.25">
      <c r="A17" s="229"/>
      <c r="B17" s="225"/>
      <c r="C17" s="224"/>
      <c r="D17" s="302"/>
      <c r="E17" s="438"/>
      <c r="F17" s="439"/>
      <c r="G17" s="498"/>
      <c r="H17" s="440"/>
      <c r="I17" s="497"/>
      <c r="J17" s="440"/>
      <c r="K17" s="441"/>
      <c r="L17" s="514"/>
      <c r="M17" s="347"/>
      <c r="N17" s="390" t="s">
        <v>6898</v>
      </c>
      <c r="O17" s="551">
        <v>1</v>
      </c>
      <c r="P17" s="331">
        <v>115071</v>
      </c>
      <c r="Q17" s="331">
        <v>449706</v>
      </c>
      <c r="U17">
        <v>11211</v>
      </c>
      <c r="V17">
        <f>U17*Q17/P17</f>
        <v>43813.419245509293</v>
      </c>
    </row>
    <row r="18" spans="1:28" ht="21">
      <c r="A18" s="229"/>
      <c r="B18" s="225"/>
      <c r="C18" s="224"/>
      <c r="D18" s="302"/>
      <c r="E18" s="438"/>
      <c r="F18" s="439"/>
      <c r="G18" s="498"/>
      <c r="H18" s="440"/>
      <c r="I18" s="497"/>
      <c r="J18" s="440"/>
      <c r="K18" s="441"/>
      <c r="L18" s="514"/>
      <c r="M18" s="347"/>
      <c r="N18" s="508" t="s">
        <v>6919</v>
      </c>
      <c r="O18" s="509">
        <v>2267</v>
      </c>
      <c r="P18" s="331">
        <f>P17*Q18/Q17</f>
        <v>30117.39174260517</v>
      </c>
      <c r="Q18" s="331">
        <v>117701</v>
      </c>
      <c r="U18" s="368"/>
      <c r="V18" s="368"/>
      <c r="W18" s="537"/>
      <c r="Y18" t="s">
        <v>25</v>
      </c>
    </row>
    <row r="19" spans="1:28" ht="21">
      <c r="A19" s="229"/>
      <c r="B19" s="225"/>
      <c r="C19" s="224"/>
      <c r="D19" s="302"/>
      <c r="E19" s="438"/>
      <c r="F19" s="439"/>
      <c r="G19" s="498"/>
      <c r="H19" s="440"/>
      <c r="I19" s="497"/>
      <c r="J19" s="440"/>
      <c r="K19" s="441"/>
      <c r="L19" s="514"/>
      <c r="M19" s="347"/>
      <c r="N19" s="505" t="s">
        <v>6918</v>
      </c>
      <c r="O19" s="505">
        <v>400</v>
      </c>
      <c r="P19" s="331">
        <f>P17-P18</f>
        <v>84953.608257394837</v>
      </c>
      <c r="Q19" s="331">
        <f>Q17-Q18</f>
        <v>332005</v>
      </c>
      <c r="U19" s="368"/>
      <c r="V19" s="368"/>
      <c r="W19" s="524">
        <v>930950</v>
      </c>
      <c r="X19" s="524">
        <v>1849691</v>
      </c>
      <c r="Y19" s="524">
        <v>708000</v>
      </c>
      <c r="Z19" s="23" t="s">
        <v>4134</v>
      </c>
      <c r="AA19" s="23"/>
    </row>
    <row r="20" spans="1:28" ht="21">
      <c r="A20" s="229"/>
      <c r="B20" s="225"/>
      <c r="C20" s="224"/>
      <c r="D20" s="302"/>
      <c r="E20" s="438"/>
      <c r="F20" s="439"/>
      <c r="G20" s="498"/>
      <c r="H20" s="440"/>
      <c r="I20" s="497" t="s">
        <v>25</v>
      </c>
      <c r="J20" s="440"/>
      <c r="K20" s="441"/>
      <c r="L20" s="514"/>
      <c r="M20" s="347"/>
      <c r="N20" s="333" t="s">
        <v>5594</v>
      </c>
      <c r="O20" s="333">
        <v>131</v>
      </c>
      <c r="Q20" s="368"/>
      <c r="S20" s="358">
        <f>O25*(1+20/81.5)+215-2000/81.5</f>
        <v>2515.6196319018404</v>
      </c>
      <c r="T20" s="496"/>
      <c r="U20" s="368"/>
      <c r="V20" s="368"/>
      <c r="W20" s="524">
        <f>W19*X20/X19</f>
        <v>578556.49717514124</v>
      </c>
      <c r="X20" s="524">
        <f>X19*Y20/Y19</f>
        <v>1149525.4802259887</v>
      </c>
      <c r="Y20" s="524">
        <v>440000</v>
      </c>
      <c r="Z20" s="23">
        <v>1800000</v>
      </c>
      <c r="AA20" s="23">
        <v>2751</v>
      </c>
      <c r="AB20" s="9">
        <f>AA20/AA21</f>
        <v>17.992151733158927</v>
      </c>
    </row>
    <row r="21" spans="1:28" ht="21">
      <c r="A21" s="229"/>
      <c r="B21" s="225"/>
      <c r="C21" s="224"/>
      <c r="D21" s="302"/>
      <c r="E21" s="438"/>
      <c r="F21" s="439"/>
      <c r="G21" s="498"/>
      <c r="H21" s="440"/>
      <c r="I21" s="497"/>
      <c r="J21" s="440"/>
      <c r="K21" s="441"/>
      <c r="L21" s="514"/>
      <c r="M21" s="347"/>
      <c r="N21" s="500" t="s">
        <v>6890</v>
      </c>
      <c r="O21" s="552">
        <v>1151</v>
      </c>
      <c r="Q21" s="25"/>
      <c r="S21" s="496"/>
      <c r="T21" s="496"/>
      <c r="U21" s="356" t="s">
        <v>25</v>
      </c>
      <c r="W21" s="524">
        <f>W19-W20</f>
        <v>352393.50282485876</v>
      </c>
      <c r="X21" s="524"/>
      <c r="Y21" s="524">
        <f>Y19-Y20</f>
        <v>268000</v>
      </c>
      <c r="Z21" s="23" t="s">
        <v>5594</v>
      </c>
      <c r="AA21" s="23">
        <v>152.9</v>
      </c>
      <c r="AB21" s="9">
        <f>AB20*1.025*O20</f>
        <v>2415.8961739699148</v>
      </c>
    </row>
    <row r="22" spans="1:28" ht="21">
      <c r="A22" s="229"/>
      <c r="B22" s="225"/>
      <c r="C22" s="224"/>
      <c r="D22" s="302"/>
      <c r="E22" s="438"/>
      <c r="F22" s="439"/>
      <c r="G22" s="498"/>
      <c r="H22" s="440"/>
      <c r="I22" s="497"/>
      <c r="J22" s="440"/>
      <c r="K22" s="441"/>
      <c r="L22" s="514"/>
      <c r="M22" s="347"/>
      <c r="N22" s="303" t="s">
        <v>4134</v>
      </c>
      <c r="O22" s="553">
        <v>2031</v>
      </c>
      <c r="S22" s="496"/>
      <c r="T22" s="496"/>
      <c r="V22" s="368"/>
      <c r="Y22" s="559"/>
      <c r="Z22" s="456"/>
      <c r="AA22" s="456"/>
      <c r="AB22" s="456"/>
    </row>
    <row r="23" spans="1:28" ht="21">
      <c r="A23" s="229"/>
      <c r="B23" s="225"/>
      <c r="C23" s="224"/>
      <c r="D23" s="302"/>
      <c r="E23" s="438"/>
      <c r="F23" s="439"/>
      <c r="G23" s="498"/>
      <c r="H23" s="440"/>
      <c r="I23" s="497"/>
      <c r="J23" s="440"/>
      <c r="K23" s="441"/>
      <c r="L23" s="514"/>
      <c r="M23" s="347"/>
      <c r="N23" s="304" t="s">
        <v>5139</v>
      </c>
      <c r="O23" s="572">
        <f>P23*(1+P3)</f>
        <v>856.46511627906966</v>
      </c>
      <c r="P23" s="572">
        <v>792</v>
      </c>
      <c r="Q23" s="358"/>
      <c r="S23" s="354">
        <v>63932.799498746863</v>
      </c>
      <c r="T23" s="354">
        <f>S23*O22*1.003632/(O30*0.9912)</f>
        <v>8017.8138640450006</v>
      </c>
      <c r="U23" s="357" t="s">
        <v>4716</v>
      </c>
      <c r="V23" s="357"/>
      <c r="W23" s="357"/>
      <c r="Y23" s="456"/>
      <c r="Z23" s="456"/>
      <c r="AA23" s="456"/>
      <c r="AB23" s="456"/>
    </row>
    <row r="24" spans="1:28" ht="21">
      <c r="A24" s="229"/>
      <c r="B24" s="225"/>
      <c r="C24" s="224"/>
      <c r="D24" s="302"/>
      <c r="E24" s="438"/>
      <c r="F24" s="439"/>
      <c r="G24" s="498"/>
      <c r="H24" s="440"/>
      <c r="I24" s="497"/>
      <c r="J24" s="440"/>
      <c r="K24" s="441"/>
      <c r="L24" s="514"/>
      <c r="M24" s="347"/>
      <c r="N24" s="312" t="s">
        <v>4542</v>
      </c>
      <c r="O24" s="312">
        <v>562</v>
      </c>
      <c r="Q24" t="s">
        <v>25</v>
      </c>
      <c r="S24" s="354">
        <v>238071</v>
      </c>
      <c r="T24" s="354">
        <f>S24*O24*1.003632/(O30*0.9912)</f>
        <v>8261.6184957239529</v>
      </c>
      <c r="U24" s="357">
        <v>16320</v>
      </c>
      <c r="V24" s="357">
        <f>U24*1.0127</f>
        <v>16527.263999999999</v>
      </c>
      <c r="W24" s="357">
        <v>6492</v>
      </c>
      <c r="Y24" s="456"/>
      <c r="Z24" s="456"/>
      <c r="AA24" s="456"/>
      <c r="AB24" s="456"/>
    </row>
    <row r="25" spans="1:28" ht="21">
      <c r="A25" s="229"/>
      <c r="B25" s="225"/>
      <c r="C25" s="224"/>
      <c r="D25" s="302"/>
      <c r="E25" s="438"/>
      <c r="F25" s="439"/>
      <c r="G25" s="498"/>
      <c r="H25" s="440"/>
      <c r="I25" s="497"/>
      <c r="J25" s="440"/>
      <c r="K25" s="441"/>
      <c r="L25" s="514"/>
      <c r="M25" s="347"/>
      <c r="N25" s="314" t="s">
        <v>5592</v>
      </c>
      <c r="O25" s="314">
        <v>1867</v>
      </c>
    </row>
    <row r="26" spans="1:28" ht="21">
      <c r="A26" s="229"/>
      <c r="B26" s="225"/>
      <c r="C26" s="224"/>
      <c r="D26" s="302"/>
      <c r="E26" s="438"/>
      <c r="F26" s="439"/>
      <c r="G26" s="498"/>
      <c r="H26" s="440"/>
      <c r="I26" s="497"/>
      <c r="J26" s="440"/>
      <c r="K26" s="441"/>
      <c r="L26" s="514"/>
      <c r="M26" s="347"/>
      <c r="N26" s="314" t="s">
        <v>6813</v>
      </c>
      <c r="O26" s="314">
        <v>18670</v>
      </c>
      <c r="Q26" s="63" t="s">
        <v>869</v>
      </c>
      <c r="R26" s="63">
        <v>2200</v>
      </c>
      <c r="S26" s="63">
        <f>R26/0.9912</f>
        <v>2219.5318805488296</v>
      </c>
    </row>
    <row r="27" spans="1:28" ht="23.25">
      <c r="A27" s="229"/>
      <c r="B27" s="225"/>
      <c r="C27" s="224"/>
      <c r="D27" s="302"/>
      <c r="E27" s="438"/>
      <c r="F27" s="439"/>
      <c r="G27" s="498"/>
      <c r="H27" s="440"/>
      <c r="I27" s="497"/>
      <c r="J27" s="440"/>
      <c r="K27" s="441"/>
      <c r="L27" s="514"/>
      <c r="M27" s="347"/>
      <c r="N27" s="311" t="s">
        <v>6830</v>
      </c>
      <c r="O27" s="554">
        <v>14635</v>
      </c>
      <c r="Q27" s="63" t="s">
        <v>61</v>
      </c>
      <c r="R27" s="63">
        <v>20441</v>
      </c>
      <c r="S27" s="63">
        <f>R27/1.003631981</f>
        <v>20367.027343661339</v>
      </c>
    </row>
    <row r="28" spans="1:28" ht="26.25">
      <c r="A28" s="229"/>
      <c r="B28" s="225"/>
      <c r="C28" s="224"/>
      <c r="D28" s="302"/>
      <c r="E28" s="438"/>
      <c r="F28" s="439"/>
      <c r="G28" s="498"/>
      <c r="H28" s="440"/>
      <c r="I28" s="497"/>
      <c r="J28" s="440"/>
      <c r="K28" s="441"/>
      <c r="L28" s="514"/>
      <c r="M28" s="347"/>
      <c r="N28" s="344" t="s">
        <v>5153</v>
      </c>
      <c r="O28" s="502">
        <v>222.8</v>
      </c>
      <c r="Q28" s="63" t="s">
        <v>6154</v>
      </c>
      <c r="R28" s="63">
        <v>14984</v>
      </c>
      <c r="S28" s="63">
        <f>R28*0.9912/1.003631981</f>
        <v>14798.393316643422</v>
      </c>
    </row>
    <row r="29" spans="1:28" ht="26.25">
      <c r="A29" s="229"/>
      <c r="B29" s="225"/>
      <c r="C29" s="224"/>
      <c r="D29" s="302"/>
      <c r="E29" s="438"/>
      <c r="F29" s="439"/>
      <c r="G29" s="498"/>
      <c r="H29" s="440"/>
      <c r="I29" s="497"/>
      <c r="J29" s="440"/>
      <c r="K29" s="441"/>
      <c r="L29" s="514"/>
      <c r="M29" s="347"/>
      <c r="N29" s="344" t="s">
        <v>4400</v>
      </c>
      <c r="O29" s="502">
        <v>1162</v>
      </c>
      <c r="Q29" s="63" t="s">
        <v>1004</v>
      </c>
      <c r="R29" s="63">
        <v>1155794</v>
      </c>
      <c r="S29" s="63">
        <f>R29/1.00125</f>
        <v>1154351.0611735331</v>
      </c>
    </row>
    <row r="30" spans="1:28" ht="21">
      <c r="A30" s="229"/>
      <c r="B30" s="225"/>
      <c r="C30" s="224"/>
      <c r="D30" s="302"/>
      <c r="E30" s="438"/>
      <c r="F30" s="439" t="s">
        <v>25</v>
      </c>
      <c r="G30" s="498"/>
      <c r="H30" s="440" t="s">
        <v>25</v>
      </c>
      <c r="I30" s="497"/>
      <c r="J30" s="440"/>
      <c r="K30" s="441"/>
      <c r="L30" s="514"/>
      <c r="M30" s="347"/>
      <c r="N30" s="314" t="s">
        <v>4716</v>
      </c>
      <c r="O30" s="314">
        <v>16398</v>
      </c>
    </row>
    <row r="31" spans="1:28" ht="21">
      <c r="A31" s="229"/>
      <c r="B31" s="225"/>
      <c r="C31" s="224"/>
      <c r="D31" s="302"/>
      <c r="E31" s="438"/>
      <c r="F31" s="439"/>
      <c r="G31" s="498"/>
      <c r="H31" s="440"/>
      <c r="I31" s="497"/>
      <c r="J31" s="440"/>
      <c r="K31" s="441"/>
      <c r="L31" s="514"/>
      <c r="M31" s="556"/>
      <c r="N31" s="314" t="s">
        <v>6833</v>
      </c>
      <c r="O31" s="314">
        <v>15500</v>
      </c>
      <c r="Q31" s="200" t="s">
        <v>4134</v>
      </c>
      <c r="R31" s="200"/>
      <c r="S31" s="200"/>
      <c r="T31" s="200" t="s">
        <v>6888</v>
      </c>
    </row>
    <row r="32" spans="1:28" ht="18.75">
      <c r="A32" s="229"/>
      <c r="B32" s="225"/>
      <c r="C32" s="224"/>
      <c r="D32" s="302"/>
      <c r="E32" s="438"/>
      <c r="F32" s="439"/>
      <c r="G32" s="498"/>
      <c r="H32" s="440"/>
      <c r="I32" s="497"/>
      <c r="J32" s="440" t="s">
        <v>25</v>
      </c>
      <c r="K32" s="441"/>
      <c r="L32" s="514"/>
      <c r="M32" s="556"/>
      <c r="Q32" s="207">
        <v>71408</v>
      </c>
      <c r="R32" s="64">
        <v>2386</v>
      </c>
      <c r="S32" s="64">
        <v>168881609</v>
      </c>
      <c r="T32" s="200">
        <f>R32/1.0127</f>
        <v>2356.0778117902637</v>
      </c>
      <c r="U32" t="s">
        <v>25</v>
      </c>
    </row>
    <row r="33" spans="1:22" ht="18.75">
      <c r="A33" s="229"/>
      <c r="B33" s="225"/>
      <c r="C33" s="224"/>
      <c r="D33" s="302"/>
      <c r="E33" s="438"/>
      <c r="F33" s="439"/>
      <c r="G33" s="498"/>
      <c r="H33" s="440"/>
      <c r="I33" s="497"/>
      <c r="J33" s="440"/>
      <c r="K33" s="441"/>
      <c r="L33" s="514"/>
      <c r="M33" s="556"/>
      <c r="Q33" s="207">
        <v>18797</v>
      </c>
      <c r="R33" s="64">
        <v>2504</v>
      </c>
      <c r="S33" s="64">
        <v>46653492</v>
      </c>
      <c r="T33" s="200">
        <f>R33/1.0127</f>
        <v>2472.5980053322801</v>
      </c>
    </row>
    <row r="34" spans="1:22" ht="18.75">
      <c r="A34" s="229" t="s">
        <v>7049</v>
      </c>
      <c r="B34" s="225" t="s">
        <v>4134</v>
      </c>
      <c r="C34" s="224">
        <v>2149</v>
      </c>
      <c r="D34" s="302">
        <v>1</v>
      </c>
      <c r="E34" s="564" t="s">
        <v>6919</v>
      </c>
      <c r="F34" s="565">
        <v>2066.1</v>
      </c>
      <c r="G34" s="566">
        <f>C34*D34*0.9912/(F34*1.00115)</f>
        <v>1.0297865600341516</v>
      </c>
      <c r="H34" s="567">
        <f>C34/F34</f>
        <v>1.0401239049416775</v>
      </c>
      <c r="I34" s="568">
        <f>$O$22/$O$18</f>
        <v>0.8958976621085134</v>
      </c>
      <c r="J34" s="567">
        <f>I34/H34</f>
        <v>0.86133744052228922</v>
      </c>
      <c r="K34" s="441">
        <f>(1/J34-1.0152)*100</f>
        <v>14.578517602303442</v>
      </c>
      <c r="L34" s="514"/>
      <c r="M34" s="556"/>
      <c r="R34" s="358" t="s">
        <v>25</v>
      </c>
      <c r="S34" s="358"/>
    </row>
    <row r="35" spans="1:22" ht="18.75">
      <c r="A35" s="229"/>
      <c r="B35" s="225"/>
      <c r="C35" s="224"/>
      <c r="D35" s="302"/>
      <c r="E35" s="564"/>
      <c r="F35" s="565"/>
      <c r="G35" s="566"/>
      <c r="H35" s="567"/>
      <c r="I35" s="568"/>
      <c r="J35" s="567"/>
      <c r="K35" s="441"/>
      <c r="L35" s="514"/>
      <c r="M35" s="556"/>
      <c r="N35" s="573"/>
      <c r="O35" s="573"/>
      <c r="P35" s="573"/>
      <c r="Q35" s="573"/>
      <c r="R35" s="358"/>
      <c r="S35" s="358"/>
    </row>
    <row r="36" spans="1:22" ht="18.75">
      <c r="A36" s="229"/>
      <c r="B36" s="225"/>
      <c r="C36" s="224"/>
      <c r="D36" s="302"/>
      <c r="E36" s="564"/>
      <c r="F36" s="565"/>
      <c r="G36" s="566"/>
      <c r="H36" s="567"/>
      <c r="I36" s="568"/>
      <c r="J36" s="567"/>
      <c r="K36" s="441"/>
      <c r="L36" s="514"/>
      <c r="M36" s="556"/>
    </row>
    <row r="37" spans="1:22" ht="18.75">
      <c r="A37" s="229"/>
      <c r="B37" s="225"/>
      <c r="C37" s="224"/>
      <c r="D37" s="302"/>
      <c r="E37" s="564"/>
      <c r="F37" s="565" t="s">
        <v>25</v>
      </c>
      <c r="G37" s="566"/>
      <c r="H37" s="567"/>
      <c r="I37" s="568"/>
      <c r="J37" s="567"/>
      <c r="K37" s="441"/>
      <c r="L37" s="514"/>
      <c r="M37" s="556"/>
      <c r="P37" s="368"/>
      <c r="Q37" s="368"/>
      <c r="R37" s="555"/>
      <c r="S37" s="555"/>
    </row>
    <row r="38" spans="1:22" ht="15.75">
      <c r="A38" s="519"/>
      <c r="B38" s="520"/>
      <c r="C38" s="521"/>
      <c r="D38" s="372"/>
      <c r="E38" s="432"/>
      <c r="F38" s="532" t="s">
        <v>6939</v>
      </c>
      <c r="G38" s="532"/>
      <c r="H38" s="532" t="s">
        <v>6940</v>
      </c>
      <c r="I38" s="472" t="s">
        <v>6941</v>
      </c>
      <c r="J38" s="432" t="s">
        <v>6942</v>
      </c>
      <c r="K38" s="533" t="s">
        <v>6943</v>
      </c>
      <c r="L38" s="432" t="s">
        <v>6944</v>
      </c>
      <c r="M38" s="534" t="s">
        <v>6945</v>
      </c>
      <c r="N38" s="534" t="s">
        <v>6946</v>
      </c>
      <c r="O38" s="534" t="s">
        <v>6947</v>
      </c>
      <c r="P38" s="535" t="s">
        <v>4387</v>
      </c>
      <c r="Q38" s="536" t="s">
        <v>6948</v>
      </c>
      <c r="U38" s="358"/>
      <c r="V38" s="456"/>
    </row>
    <row r="39" spans="1:22" ht="23.25">
      <c r="A39" s="546" t="s">
        <v>7043</v>
      </c>
      <c r="B39" s="225" t="s">
        <v>4134</v>
      </c>
      <c r="C39" s="224">
        <v>2149</v>
      </c>
      <c r="D39" s="302">
        <v>98565</v>
      </c>
      <c r="E39" s="564" t="s">
        <v>6919</v>
      </c>
      <c r="F39" s="565">
        <v>2066.1</v>
      </c>
      <c r="G39" s="566" t="s">
        <v>7041</v>
      </c>
      <c r="H39" s="567">
        <v>160</v>
      </c>
      <c r="I39" s="568">
        <v>2066.1</v>
      </c>
      <c r="J39" s="567">
        <f t="shared" ref="J39" si="25">C39*D39*0.9912/(F39*1.00115)</f>
        <v>101500.91228976616</v>
      </c>
      <c r="K39" s="569">
        <f t="shared" ref="K39" si="26">J39*H39*0.99885/(I39*1.00115-H39*0.99885)</f>
        <v>8498.8786221841983</v>
      </c>
      <c r="L39" s="570">
        <f t="shared" ref="L39:L46" si="27">K39+J39</f>
        <v>109999.79091195036</v>
      </c>
      <c r="M39" s="569">
        <f>L39*$O$6*1.00115/($O$18*0.99885)</f>
        <v>7295.0870124926269</v>
      </c>
      <c r="N39" s="569">
        <f t="shared" ref="N39:N46" si="28">L39-M39</f>
        <v>102704.70389945773</v>
      </c>
      <c r="O39" s="569">
        <f t="shared" ref="O39:O43" si="29">N39*$O$18*0.99885/($O$22*1.003631981)</f>
        <v>114092.66214949319</v>
      </c>
      <c r="P39" s="440">
        <f t="shared" ref="P39:P46" si="30">O39/D39</f>
        <v>1.1575372814842306</v>
      </c>
      <c r="Q39" s="440">
        <f t="shared" ref="Q39:Q46" si="31">100*(O39-D39)/D39</f>
        <v>15.753728148423059</v>
      </c>
      <c r="R39" s="384" t="s">
        <v>422</v>
      </c>
      <c r="S39" s="544">
        <f t="shared" ref="S39:S46" si="32">C39*D39*Q39/100</f>
        <v>33368945.959260866</v>
      </c>
      <c r="U39" s="358"/>
      <c r="V39" s="456"/>
    </row>
    <row r="40" spans="1:22" ht="23.25">
      <c r="A40" s="546" t="s">
        <v>7051</v>
      </c>
      <c r="B40" s="225" t="s">
        <v>4134</v>
      </c>
      <c r="C40" s="224">
        <v>2195</v>
      </c>
      <c r="D40" s="302">
        <v>162176</v>
      </c>
      <c r="E40" s="564" t="s">
        <v>6919</v>
      </c>
      <c r="F40" s="565">
        <v>2163</v>
      </c>
      <c r="G40" s="566" t="s">
        <v>7041</v>
      </c>
      <c r="H40" s="567">
        <v>125</v>
      </c>
      <c r="I40" s="568">
        <v>2163</v>
      </c>
      <c r="J40" s="567">
        <f t="shared" ref="J40" si="33">C40*D40*0.9912/(F40*1.00115)</f>
        <v>162939.63208329838</v>
      </c>
      <c r="K40" s="569">
        <f t="shared" ref="K40" si="34">J40*H40*0.99885/(I40*1.00115-H40*0.99885)</f>
        <v>9969.4797562148033</v>
      </c>
      <c r="L40" s="570">
        <f t="shared" si="27"/>
        <v>172909.11183951318</v>
      </c>
      <c r="M40" s="569">
        <f>L40*$O$6*1.00115/($O$18*0.99885)</f>
        <v>11467.176488833042</v>
      </c>
      <c r="N40" s="569">
        <f t="shared" si="28"/>
        <v>161441.93535068014</v>
      </c>
      <c r="O40" s="569">
        <f t="shared" si="29"/>
        <v>179342.71252811357</v>
      </c>
      <c r="P40" s="440">
        <f t="shared" si="30"/>
        <v>1.1058523611885456</v>
      </c>
      <c r="Q40" s="440">
        <f t="shared" si="31"/>
        <v>10.585236118854557</v>
      </c>
      <c r="R40" s="384" t="s">
        <v>422</v>
      </c>
      <c r="S40" s="544">
        <f t="shared" si="32"/>
        <v>37680933.999209277</v>
      </c>
      <c r="U40" s="358"/>
      <c r="V40" s="456"/>
    </row>
    <row r="41" spans="1:22" ht="18.75" customHeight="1">
      <c r="A41" s="546" t="s">
        <v>7051</v>
      </c>
      <c r="B41" s="225" t="s">
        <v>4134</v>
      </c>
      <c r="C41" s="224">
        <v>2149</v>
      </c>
      <c r="D41" s="302">
        <v>6470</v>
      </c>
      <c r="E41" s="564" t="s">
        <v>6919</v>
      </c>
      <c r="F41" s="565">
        <v>2066.1</v>
      </c>
      <c r="G41" s="566" t="s">
        <v>7041</v>
      </c>
      <c r="H41" s="567">
        <v>125</v>
      </c>
      <c r="I41" s="568">
        <v>2066</v>
      </c>
      <c r="J41" s="567">
        <f t="shared" ref="J41" si="35">C41*D41*0.9912/(F41*1.00115)</f>
        <v>6662.7190434209615</v>
      </c>
      <c r="K41" s="569">
        <f t="shared" ref="K41" si="36">J41*H41*0.99885/(I41*1.00115-H41*0.99885)</f>
        <v>428.02866159090718</v>
      </c>
      <c r="L41" s="570">
        <f t="shared" si="27"/>
        <v>7090.7477050118687</v>
      </c>
      <c r="M41" s="569">
        <f>L41*$O$6*1.00115/($O$18*0.99885)</f>
        <v>470.25199832515591</v>
      </c>
      <c r="N41" s="569">
        <f t="shared" si="28"/>
        <v>6620.4957066867128</v>
      </c>
      <c r="O41" s="569">
        <f t="shared" si="29"/>
        <v>7354.5801822730882</v>
      </c>
      <c r="P41" s="440">
        <f t="shared" si="30"/>
        <v>1.136720275467247</v>
      </c>
      <c r="Q41" s="440">
        <f t="shared" si="31"/>
        <v>13.672027546724701</v>
      </c>
      <c r="R41" s="384" t="s">
        <v>422</v>
      </c>
      <c r="S41" s="544">
        <f t="shared" si="32"/>
        <v>1900962.8117048666</v>
      </c>
      <c r="T41" s="358"/>
      <c r="U41" s="358"/>
      <c r="V41" s="456"/>
    </row>
    <row r="42" spans="1:22" ht="21.75" customHeight="1">
      <c r="A42" s="546" t="s">
        <v>7053</v>
      </c>
      <c r="B42" s="225" t="s">
        <v>4134</v>
      </c>
      <c r="C42" s="224">
        <v>2055</v>
      </c>
      <c r="D42" s="302">
        <v>374083</v>
      </c>
      <c r="E42" s="564" t="s">
        <v>6919</v>
      </c>
      <c r="F42" s="565">
        <v>2047</v>
      </c>
      <c r="G42" s="566" t="s">
        <v>7041</v>
      </c>
      <c r="H42" s="567">
        <v>135</v>
      </c>
      <c r="I42" s="568">
        <v>2047</v>
      </c>
      <c r="J42" s="567">
        <f t="shared" ref="J42" si="37">C42*D42*0.9912/(F42*1.00115)</f>
        <v>371812.59530435945</v>
      </c>
      <c r="K42" s="569">
        <f t="shared" ref="K42" si="38">J42*H42*0.99885/(I42*1.00115-H42*0.99885)</f>
        <v>26187.899145053787</v>
      </c>
      <c r="L42" s="570">
        <f t="shared" si="27"/>
        <v>398000.49444941327</v>
      </c>
      <c r="M42" s="569">
        <f>L42*$O$6*1.00115/($O$18*0.99885)</f>
        <v>26395.034153725181</v>
      </c>
      <c r="N42" s="569">
        <f t="shared" si="28"/>
        <v>371605.46029568807</v>
      </c>
      <c r="O42" s="569">
        <f t="shared" si="29"/>
        <v>412809.29329125595</v>
      </c>
      <c r="P42" s="440">
        <f t="shared" si="30"/>
        <v>1.1035232643323967</v>
      </c>
      <c r="Q42" s="440">
        <f t="shared" si="31"/>
        <v>10.352326433239668</v>
      </c>
      <c r="R42" s="384" t="s">
        <v>422</v>
      </c>
      <c r="S42" s="544">
        <f t="shared" si="32"/>
        <v>79582532.713530973</v>
      </c>
      <c r="V42" s="456"/>
    </row>
    <row r="43" spans="1:22" ht="23.25">
      <c r="A43" s="546" t="s">
        <v>7055</v>
      </c>
      <c r="B43" s="225" t="s">
        <v>4134</v>
      </c>
      <c r="C43" s="224">
        <v>2055</v>
      </c>
      <c r="D43" s="302">
        <v>7453</v>
      </c>
      <c r="E43" s="564" t="s">
        <v>6919</v>
      </c>
      <c r="F43" s="565">
        <v>2047</v>
      </c>
      <c r="G43" s="566" t="s">
        <v>7041</v>
      </c>
      <c r="H43" s="567">
        <v>158</v>
      </c>
      <c r="I43" s="568">
        <v>2130</v>
      </c>
      <c r="J43" s="567">
        <f t="shared" ref="J43" si="39">C43*D43*0.9912/(F43*1.00115)</f>
        <v>7407.7658509031171</v>
      </c>
      <c r="K43" s="569">
        <f t="shared" ref="K43" si="40">J43*H43*0.99885/(I43*1.00115-H43*0.99885)</f>
        <v>592.05030964140713</v>
      </c>
      <c r="L43" s="570">
        <f t="shared" si="27"/>
        <v>7999.8161605445239</v>
      </c>
      <c r="M43" s="569">
        <f>L43*$O$6*1.00115/($O$18*0.99885)</f>
        <v>530.54059913469189</v>
      </c>
      <c r="N43" s="569">
        <f t="shared" si="28"/>
        <v>7469.2755614098323</v>
      </c>
      <c r="O43" s="569">
        <f t="shared" si="29"/>
        <v>8297.4732487778256</v>
      </c>
      <c r="P43" s="440">
        <f t="shared" si="30"/>
        <v>1.1133064871565579</v>
      </c>
      <c r="Q43" s="440">
        <f t="shared" si="31"/>
        <v>11.330648715655784</v>
      </c>
      <c r="R43" s="384" t="s">
        <v>422</v>
      </c>
      <c r="S43" s="544">
        <f t="shared" si="32"/>
        <v>1735392.5262384317</v>
      </c>
      <c r="V43" s="456"/>
    </row>
    <row r="44" spans="1:22" ht="18.75" customHeight="1">
      <c r="A44" s="546" t="s">
        <v>7037</v>
      </c>
      <c r="B44" s="522" t="s">
        <v>4134</v>
      </c>
      <c r="C44" s="523">
        <v>2672.619370349943</v>
      </c>
      <c r="D44" s="524">
        <v>2705.05</v>
      </c>
      <c r="E44" s="339" t="s">
        <v>5594</v>
      </c>
      <c r="F44" s="526">
        <v>146.16900000000001</v>
      </c>
      <c r="G44" s="526" t="s">
        <v>7038</v>
      </c>
      <c r="H44" s="526">
        <v>3</v>
      </c>
      <c r="I44" s="526">
        <v>129.5</v>
      </c>
      <c r="J44" s="527">
        <f t="shared" ref="J44" si="41">C44*D44*0.9912/(F44*1.003631981)</f>
        <v>48847.679168338589</v>
      </c>
      <c r="K44" s="527">
        <f t="shared" ref="K44" si="42">J44*H44*0.99885/(I44*1.003631981-H44*0.99885)</f>
        <v>1152.793117675388</v>
      </c>
      <c r="L44" s="549">
        <f t="shared" si="27"/>
        <v>50000.472286013974</v>
      </c>
      <c r="M44" s="527">
        <f>L44*$O$13*1.00115/($O$20*0.9912)</f>
        <v>1156.5433716508994</v>
      </c>
      <c r="N44" s="527">
        <f t="shared" si="28"/>
        <v>48843.928914363074</v>
      </c>
      <c r="O44" s="527">
        <f>N44*$O$20*0.9912/($O$22*1.003631981)</f>
        <v>3111.4208981240627</v>
      </c>
      <c r="P44" s="440">
        <f t="shared" si="30"/>
        <v>1.1502267603645264</v>
      </c>
      <c r="Q44" s="440">
        <f t="shared" si="31"/>
        <v>15.022676036452653</v>
      </c>
      <c r="R44" s="384" t="s">
        <v>422</v>
      </c>
      <c r="S44" s="544">
        <f t="shared" si="32"/>
        <v>1086074.7338728728</v>
      </c>
      <c r="V44" s="456"/>
    </row>
    <row r="45" spans="1:22" ht="20.25" customHeight="1">
      <c r="A45" s="546" t="s">
        <v>7029</v>
      </c>
      <c r="B45" s="235" t="s">
        <v>5139</v>
      </c>
      <c r="C45" s="529">
        <v>926.43799999999999</v>
      </c>
      <c r="D45" s="530">
        <v>345379</v>
      </c>
      <c r="E45" s="507" t="s">
        <v>6918</v>
      </c>
      <c r="F45" s="531">
        <v>396</v>
      </c>
      <c r="G45" s="531" t="s">
        <v>7033</v>
      </c>
      <c r="H45" s="531">
        <v>15.8</v>
      </c>
      <c r="I45" s="531">
        <v>396</v>
      </c>
      <c r="J45" s="525">
        <f t="shared" ref="J45" si="43">C45*D45*0.9912/(F45*1.003631981)</f>
        <v>798001.86022887181</v>
      </c>
      <c r="K45" s="525">
        <f t="shared" ref="K45:K46" si="44">J45*H45*0.99885/(I45*1.003631981-H45*0.99885)</f>
        <v>32998.080368032599</v>
      </c>
      <c r="L45" s="550">
        <f t="shared" si="27"/>
        <v>830999.94059690437</v>
      </c>
      <c r="M45" s="525">
        <f>L45*$O$8*1.00115/($O$19*0.9912)</f>
        <v>1888.519046296741</v>
      </c>
      <c r="N45" s="525">
        <f t="shared" si="28"/>
        <v>829111.42155060766</v>
      </c>
      <c r="O45" s="525">
        <f>N45*$O$19*0.9912/($O$23*1.003631981)</f>
        <v>382428.29028518614</v>
      </c>
      <c r="P45" s="440">
        <f t="shared" si="30"/>
        <v>1.107271404124704</v>
      </c>
      <c r="Q45" s="440">
        <f t="shared" si="31"/>
        <v>10.7271404124704</v>
      </c>
      <c r="R45" s="384" t="s">
        <v>422</v>
      </c>
      <c r="S45" s="544">
        <f t="shared" si="32"/>
        <v>34323870.393227279</v>
      </c>
      <c r="T45" s="337"/>
      <c r="V45" s="456"/>
    </row>
    <row r="46" spans="1:22" ht="23.25">
      <c r="A46" s="546" t="s">
        <v>7029</v>
      </c>
      <c r="B46" s="235" t="s">
        <v>5139</v>
      </c>
      <c r="C46" s="529">
        <v>917.25900000000001</v>
      </c>
      <c r="D46" s="530">
        <v>335592</v>
      </c>
      <c r="E46" s="489" t="s">
        <v>6918</v>
      </c>
      <c r="F46" s="528">
        <v>396</v>
      </c>
      <c r="G46" s="528" t="s">
        <v>7034</v>
      </c>
      <c r="H46" s="528">
        <v>28.3</v>
      </c>
      <c r="I46" s="528">
        <v>375.27300000000002</v>
      </c>
      <c r="J46" s="525">
        <f>C46*D46*0.9912/(F46*1.003631981)</f>
        <v>767706.46290384687</v>
      </c>
      <c r="K46" s="525">
        <f t="shared" si="44"/>
        <v>62293.537049278442</v>
      </c>
      <c r="L46" s="550">
        <f t="shared" si="27"/>
        <v>829999.99995312537</v>
      </c>
      <c r="M46" s="525">
        <f>L46*$O$7*1.00115/($O$19*0.9912)</f>
        <v>9431.2329746489668</v>
      </c>
      <c r="N46" s="525">
        <f t="shared" si="28"/>
        <v>820568.76697847643</v>
      </c>
      <c r="O46" s="525">
        <f>N46*$O$19*0.9912/($O$23*1.003631981)</f>
        <v>378487.98419652169</v>
      </c>
      <c r="P46" s="440">
        <f t="shared" si="30"/>
        <v>1.1278218318569027</v>
      </c>
      <c r="Q46" s="440">
        <f t="shared" si="31"/>
        <v>12.782183185690272</v>
      </c>
      <c r="R46" s="384" t="s">
        <v>4317</v>
      </c>
      <c r="S46" s="544">
        <f t="shared" si="32"/>
        <v>39346727.568117291</v>
      </c>
      <c r="T46" s="358"/>
      <c r="U46" s="358"/>
      <c r="V46" s="456"/>
    </row>
    <row r="47" spans="1:22">
      <c r="V47" s="456"/>
    </row>
    <row r="48" spans="1:22" ht="18.75">
      <c r="A48" s="225"/>
      <c r="B48" s="225"/>
      <c r="C48" s="224"/>
      <c r="D48" s="302"/>
      <c r="E48" s="250"/>
      <c r="F48" s="334"/>
      <c r="G48" s="319"/>
      <c r="H48" s="339"/>
      <c r="I48" s="340"/>
      <c r="J48" s="228"/>
      <c r="K48" s="228"/>
      <c r="L48" s="228"/>
      <c r="M48" s="400" t="s">
        <v>25</v>
      </c>
      <c r="N48" s="368"/>
      <c r="O48" t="s">
        <v>25</v>
      </c>
      <c r="P48" t="s">
        <v>25</v>
      </c>
      <c r="Q48" t="s">
        <v>25</v>
      </c>
      <c r="V48" s="456"/>
    </row>
    <row r="49" spans="1:33" ht="18.75">
      <c r="A49" s="225"/>
      <c r="B49" s="225"/>
      <c r="C49" s="224"/>
      <c r="D49" s="302"/>
      <c r="E49" s="250"/>
      <c r="F49" s="334"/>
      <c r="G49" s="319"/>
      <c r="H49" s="339"/>
      <c r="I49" s="340"/>
      <c r="J49" s="228"/>
      <c r="K49" s="228"/>
      <c r="L49" s="228"/>
      <c r="M49" s="346" t="s">
        <v>25</v>
      </c>
      <c r="N49" s="36" t="s">
        <v>25</v>
      </c>
      <c r="O49" t="s">
        <v>25</v>
      </c>
      <c r="Q49" t="s">
        <v>25</v>
      </c>
      <c r="S49" s="544">
        <f>SUM(S39:S46)</f>
        <v>229025440.70516187</v>
      </c>
    </row>
    <row r="50" spans="1:33" ht="25.5" customHeight="1">
      <c r="A50" s="250"/>
      <c r="B50" s="250"/>
      <c r="C50" s="334"/>
      <c r="D50" s="319"/>
      <c r="E50" s="170"/>
      <c r="F50" s="170"/>
      <c r="G50" s="170"/>
      <c r="H50" s="170"/>
      <c r="I50" s="170"/>
      <c r="J50" s="357"/>
      <c r="K50" s="371"/>
      <c r="L50" s="357"/>
      <c r="M50" s="346" t="s">
        <v>25</v>
      </c>
      <c r="N50" s="36" t="s">
        <v>25</v>
      </c>
      <c r="O50" t="s">
        <v>25</v>
      </c>
      <c r="R50" t="s">
        <v>25</v>
      </c>
    </row>
    <row r="51" spans="1:33" ht="21">
      <c r="A51" s="250"/>
      <c r="B51" s="250"/>
      <c r="C51" s="334"/>
      <c r="D51" s="319"/>
      <c r="E51" s="170"/>
      <c r="F51" s="170"/>
      <c r="G51" s="170"/>
      <c r="H51" s="170"/>
      <c r="I51" s="170"/>
      <c r="J51" s="357"/>
      <c r="K51" s="371"/>
      <c r="L51" s="357"/>
      <c r="M51" s="346"/>
      <c r="N51" t="s">
        <v>25</v>
      </c>
      <c r="O51" s="517"/>
      <c r="P51" t="s">
        <v>25</v>
      </c>
    </row>
    <row r="52" spans="1:33" ht="23.25" customHeight="1">
      <c r="A52" s="225"/>
      <c r="B52" s="225"/>
      <c r="C52" s="224"/>
      <c r="D52" s="225"/>
      <c r="E52" s="315"/>
      <c r="F52" s="315"/>
      <c r="G52" s="315"/>
      <c r="H52" s="315"/>
      <c r="I52" s="315"/>
      <c r="J52" s="315"/>
      <c r="K52" s="316"/>
      <c r="L52" s="315"/>
      <c r="O52" s="400" t="s">
        <v>25</v>
      </c>
      <c r="P52" t="s">
        <v>25</v>
      </c>
    </row>
    <row r="53" spans="1:33" ht="25.5" customHeight="1">
      <c r="A53" s="225"/>
      <c r="B53" s="225"/>
      <c r="C53" s="224"/>
      <c r="D53" s="225"/>
      <c r="E53" s="384"/>
      <c r="F53" s="384"/>
      <c r="G53" s="385"/>
      <c r="H53" s="384"/>
      <c r="I53" s="384"/>
      <c r="J53" s="357"/>
      <c r="K53" s="357"/>
      <c r="L53" s="357"/>
      <c r="M53" s="352" t="s">
        <v>25</v>
      </c>
      <c r="O53" s="517" t="s">
        <v>25</v>
      </c>
      <c r="Q53" t="s">
        <v>25</v>
      </c>
    </row>
    <row r="54" spans="1:33" ht="15.75">
      <c r="A54" s="225"/>
      <c r="B54" s="225"/>
      <c r="C54" s="224"/>
      <c r="D54" s="225"/>
      <c r="E54" s="384"/>
      <c r="F54" s="384"/>
      <c r="G54" s="385"/>
      <c r="H54" s="384"/>
      <c r="I54" s="384"/>
      <c r="J54" s="357"/>
      <c r="K54" s="357"/>
      <c r="L54" s="357"/>
      <c r="O54" s="400" t="s">
        <v>25</v>
      </c>
      <c r="Q54" t="s">
        <v>25</v>
      </c>
    </row>
    <row r="55" spans="1:33" ht="21">
      <c r="A55" s="227" t="s">
        <v>6814</v>
      </c>
      <c r="B55" s="227" t="s">
        <v>5139</v>
      </c>
      <c r="C55" s="226">
        <v>528</v>
      </c>
      <c r="D55" s="299">
        <v>1</v>
      </c>
      <c r="E55" s="332" t="s">
        <v>6813</v>
      </c>
      <c r="F55" s="332">
        <v>13559.5</v>
      </c>
      <c r="G55" s="335">
        <f>C55*D55*0.9912/(F55*1.00115)</f>
        <v>3.8552486057752494E-2</v>
      </c>
      <c r="H55" s="332">
        <f>C55/F55</f>
        <v>3.8939488919207933E-2</v>
      </c>
      <c r="I55" s="332">
        <f>$O$23/$O$26</f>
        <v>4.587386803851471E-2</v>
      </c>
      <c r="J55" s="332">
        <f>I55/H55</f>
        <v>1.1780808970989398</v>
      </c>
      <c r="K55" s="333">
        <f>(1/J55-1.015)*100</f>
        <v>-16.616185784649375</v>
      </c>
      <c r="L55" s="332"/>
      <c r="M55" t="s">
        <v>25</v>
      </c>
      <c r="O55" t="s">
        <v>25</v>
      </c>
    </row>
    <row r="56" spans="1:33" ht="21" customHeight="1">
      <c r="A56" s="227"/>
      <c r="B56" s="227"/>
      <c r="C56" s="226"/>
      <c r="D56" s="299"/>
      <c r="E56" s="332"/>
      <c r="F56" s="332"/>
      <c r="G56" s="335"/>
      <c r="H56" s="332"/>
      <c r="I56" s="332"/>
      <c r="J56" s="332"/>
      <c r="K56" s="333"/>
      <c r="L56" s="332"/>
      <c r="O56" t="s">
        <v>25</v>
      </c>
    </row>
    <row r="57" spans="1:33" ht="19.5" customHeight="1">
      <c r="A57" s="250"/>
      <c r="B57" s="250"/>
      <c r="C57" s="334"/>
      <c r="D57" s="319"/>
      <c r="E57" s="332"/>
      <c r="F57" s="332"/>
      <c r="G57" s="335"/>
      <c r="H57" s="332"/>
      <c r="I57" s="332"/>
      <c r="J57" s="332"/>
      <c r="K57" s="333"/>
      <c r="L57" s="332"/>
      <c r="M57" t="s">
        <v>25</v>
      </c>
      <c r="AC57" s="353"/>
      <c r="AD57" s="353"/>
      <c r="AE57" s="353"/>
      <c r="AF57" s="353"/>
      <c r="AG57" s="353"/>
    </row>
    <row r="58" spans="1:33" ht="20.25" customHeight="1">
      <c r="A58" s="332" t="s">
        <v>6827</v>
      </c>
      <c r="B58" s="332" t="s">
        <v>6830</v>
      </c>
      <c r="C58" s="347">
        <v>8724.2999999999993</v>
      </c>
      <c r="D58" s="335">
        <v>71134</v>
      </c>
      <c r="E58" s="302" t="s">
        <v>4134</v>
      </c>
      <c r="F58" s="302">
        <v>1719.9647014073792</v>
      </c>
      <c r="G58" s="302">
        <f t="shared" ref="G58:G78" si="45">C58*D58*0.99885/(F58*1.003631981)</f>
        <v>359098.89592002367</v>
      </c>
      <c r="H58" s="225">
        <f t="shared" ref="H58:H79" si="46">C58/F58</f>
        <v>5.0723715392887128</v>
      </c>
      <c r="I58" s="225">
        <f>$O$27/$O$22</f>
        <v>7.205809945839488</v>
      </c>
      <c r="J58" s="28">
        <f>I58/H58</f>
        <v>1.4205997904581615</v>
      </c>
      <c r="K58" s="230">
        <f t="shared" ref="K58" si="47">(1/J58-1.015)*100</f>
        <v>-31.107197838774326</v>
      </c>
      <c r="L58" s="228"/>
      <c r="M58" t="s">
        <v>25</v>
      </c>
      <c r="O58" t="s">
        <v>25</v>
      </c>
      <c r="Z58" s="456"/>
      <c r="AC58" s="353"/>
      <c r="AD58" s="353"/>
      <c r="AE58" s="353"/>
      <c r="AF58" s="353"/>
      <c r="AG58" s="353"/>
    </row>
    <row r="59" spans="1:33" ht="21">
      <c r="A59" s="332" t="s">
        <v>6827</v>
      </c>
      <c r="B59" s="332" t="s">
        <v>6813</v>
      </c>
      <c r="C59" s="347">
        <v>14116.9</v>
      </c>
      <c r="D59" s="335">
        <v>22382</v>
      </c>
      <c r="E59" s="302" t="s">
        <v>4134</v>
      </c>
      <c r="F59" s="302">
        <v>1720.6021300874859</v>
      </c>
      <c r="G59" s="302">
        <f t="shared" si="45"/>
        <v>182761.01261804847</v>
      </c>
      <c r="H59" s="225">
        <f t="shared" si="46"/>
        <v>8.2046277597495543</v>
      </c>
      <c r="I59" s="225">
        <f t="shared" ref="I59:I64" si="48">$O$26/$O$22</f>
        <v>9.1925160019694729</v>
      </c>
      <c r="J59" s="28">
        <f>I59/H59</f>
        <v>1.1204062233104983</v>
      </c>
      <c r="K59" s="230">
        <f t="shared" ref="K59" si="49">(1/J59-1.015)*100</f>
        <v>-12.246657846538046</v>
      </c>
      <c r="L59" s="228"/>
      <c r="N59" t="s">
        <v>25</v>
      </c>
      <c r="Z59" s="456"/>
      <c r="AC59" s="353"/>
      <c r="AD59" s="353"/>
      <c r="AE59" s="353"/>
      <c r="AF59" s="353"/>
      <c r="AG59" s="353"/>
    </row>
    <row r="60" spans="1:33" ht="21">
      <c r="A60" s="332" t="s">
        <v>6829</v>
      </c>
      <c r="B60" s="332" t="s">
        <v>6813</v>
      </c>
      <c r="C60" s="347">
        <v>14385</v>
      </c>
      <c r="D60" s="335">
        <v>15000</v>
      </c>
      <c r="E60" s="302" t="s">
        <v>4134</v>
      </c>
      <c r="F60" s="302">
        <v>1709.5837200456449</v>
      </c>
      <c r="G60" s="302">
        <f t="shared" si="45"/>
        <v>125613.56285967458</v>
      </c>
      <c r="H60" s="225">
        <f t="shared" si="46"/>
        <v>8.4143290739899701</v>
      </c>
      <c r="I60" s="225">
        <f t="shared" si="48"/>
        <v>9.1925160019694729</v>
      </c>
      <c r="J60" s="28">
        <f t="shared" ref="J60:J61" si="50">I60/H60</f>
        <v>1.0924835386323317</v>
      </c>
      <c r="K60" s="230">
        <f t="shared" ref="K60" si="51">(1/J60-1.015)*100</f>
        <v>-9.9654400146029438</v>
      </c>
      <c r="L60" s="228"/>
      <c r="M60" t="s">
        <v>25</v>
      </c>
      <c r="N60" t="s">
        <v>25</v>
      </c>
      <c r="O60" t="s">
        <v>25</v>
      </c>
      <c r="P60" t="s">
        <v>25</v>
      </c>
      <c r="Z60" s="456"/>
      <c r="AC60" s="353"/>
      <c r="AD60" s="353"/>
      <c r="AE60" s="353"/>
      <c r="AF60" s="353"/>
      <c r="AG60" s="353"/>
    </row>
    <row r="61" spans="1:33" ht="21">
      <c r="A61" s="332" t="s">
        <v>6831</v>
      </c>
      <c r="B61" s="332" t="s">
        <v>6813</v>
      </c>
      <c r="C61" s="347">
        <v>14647</v>
      </c>
      <c r="D61" s="335">
        <v>6000</v>
      </c>
      <c r="E61" s="302" t="s">
        <v>4075</v>
      </c>
      <c r="F61" s="302">
        <v>1711.9513122860403</v>
      </c>
      <c r="G61" s="302">
        <f t="shared" si="45"/>
        <v>51089.812037703196</v>
      </c>
      <c r="H61" s="225">
        <f t="shared" si="46"/>
        <v>8.5557339714534564</v>
      </c>
      <c r="I61" s="225">
        <f t="shared" si="48"/>
        <v>9.1925160019694729</v>
      </c>
      <c r="J61" s="28">
        <f t="shared" si="50"/>
        <v>1.0744275164048653</v>
      </c>
      <c r="K61" s="230">
        <f>(1/J61-1.015)*100</f>
        <v>-8.4271789179326539</v>
      </c>
      <c r="L61" s="228"/>
      <c r="O61" t="s">
        <v>25</v>
      </c>
      <c r="Z61" s="456"/>
      <c r="AC61" s="353"/>
      <c r="AD61" s="353"/>
      <c r="AE61" s="353"/>
      <c r="AF61" s="353"/>
      <c r="AG61" s="353"/>
    </row>
    <row r="62" spans="1:33" ht="24" customHeight="1">
      <c r="A62" s="332" t="s">
        <v>6832</v>
      </c>
      <c r="B62" s="332" t="s">
        <v>6813</v>
      </c>
      <c r="C62" s="347">
        <v>14870</v>
      </c>
      <c r="D62" s="335">
        <v>3642</v>
      </c>
      <c r="E62" s="302" t="s">
        <v>4134</v>
      </c>
      <c r="F62" s="302">
        <v>1702.8451882845188</v>
      </c>
      <c r="G62" s="302">
        <f t="shared" si="45"/>
        <v>31652.026864165495</v>
      </c>
      <c r="H62" s="225">
        <f t="shared" si="46"/>
        <v>8.7324438547348766</v>
      </c>
      <c r="I62" s="225">
        <f t="shared" si="48"/>
        <v>9.1925160019694729</v>
      </c>
      <c r="J62" s="28">
        <f t="shared" ref="J62" si="52">I62/H62</f>
        <v>1.0526853827963791</v>
      </c>
      <c r="K62" s="230">
        <f>(1/J62-1.015)*100</f>
        <v>-6.5048555491883375</v>
      </c>
      <c r="L62" s="228"/>
      <c r="M62" t="s">
        <v>25</v>
      </c>
      <c r="N62" t="s">
        <v>25</v>
      </c>
      <c r="O62" t="s">
        <v>25</v>
      </c>
      <c r="Z62" s="456"/>
      <c r="AC62" s="353"/>
      <c r="AD62" s="353"/>
      <c r="AE62" s="353"/>
      <c r="AF62" s="353"/>
      <c r="AG62" s="353"/>
    </row>
    <row r="63" spans="1:33" ht="21">
      <c r="A63" s="332" t="s">
        <v>6832</v>
      </c>
      <c r="B63" s="332" t="s">
        <v>6813</v>
      </c>
      <c r="C63" s="347">
        <v>14870</v>
      </c>
      <c r="D63" s="335">
        <v>3721</v>
      </c>
      <c r="E63" s="348" t="s">
        <v>4134</v>
      </c>
      <c r="F63" s="302">
        <v>1702.8451882845188</v>
      </c>
      <c r="G63" s="302">
        <f t="shared" si="45"/>
        <v>32338.602954848928</v>
      </c>
      <c r="H63" s="225">
        <f t="shared" si="46"/>
        <v>8.7324438547348766</v>
      </c>
      <c r="I63" s="225">
        <f t="shared" si="48"/>
        <v>9.1925160019694729</v>
      </c>
      <c r="J63" s="28">
        <f t="shared" ref="J63" si="53">I63/H63</f>
        <v>1.0526853827963791</v>
      </c>
      <c r="K63" s="230">
        <f t="shared" ref="K63" si="54">(1/J63-1.015)*100</f>
        <v>-6.5048555491883375</v>
      </c>
      <c r="L63" s="228"/>
      <c r="N63" t="s">
        <v>25</v>
      </c>
      <c r="O63" t="s">
        <v>25</v>
      </c>
      <c r="Z63" s="456"/>
      <c r="AC63" s="353"/>
      <c r="AD63" s="353"/>
      <c r="AE63" s="353"/>
      <c r="AF63" s="353"/>
      <c r="AG63" s="353"/>
    </row>
    <row r="64" spans="1:33" ht="21.75" customHeight="1">
      <c r="A64" s="332" t="s">
        <v>6832</v>
      </c>
      <c r="B64" s="332" t="s">
        <v>6813</v>
      </c>
      <c r="C64" s="347">
        <v>15600</v>
      </c>
      <c r="D64" s="335">
        <v>35181</v>
      </c>
      <c r="E64" s="348" t="s">
        <v>4134</v>
      </c>
      <c r="F64" s="302">
        <v>1693.2382274629138</v>
      </c>
      <c r="G64" s="302">
        <f t="shared" si="45"/>
        <v>322582.27142649592</v>
      </c>
      <c r="H64" s="225">
        <f t="shared" si="46"/>
        <v>9.2131158787824372</v>
      </c>
      <c r="I64" s="225">
        <f t="shared" si="48"/>
        <v>9.1925160019694729</v>
      </c>
      <c r="J64" s="28">
        <f>I64/H64</f>
        <v>0.99776407058328598</v>
      </c>
      <c r="K64" s="230">
        <f>(1/J64-1.015)*100</f>
        <v>-1.2759059999617905</v>
      </c>
      <c r="L64" s="228"/>
      <c r="N64" t="s">
        <v>25</v>
      </c>
      <c r="O64" t="s">
        <v>25</v>
      </c>
      <c r="W64" s="456"/>
      <c r="X64" s="456"/>
      <c r="Y64" s="456"/>
      <c r="Z64" s="456"/>
      <c r="AC64" s="353"/>
      <c r="AD64" s="353"/>
      <c r="AE64" s="353"/>
      <c r="AF64" s="353"/>
      <c r="AG64" s="353"/>
    </row>
    <row r="65" spans="1:35" ht="21">
      <c r="A65" s="332" t="s">
        <v>6832</v>
      </c>
      <c r="B65" s="332" t="s">
        <v>6813</v>
      </c>
      <c r="C65" s="347">
        <v>14870</v>
      </c>
      <c r="D65" s="335">
        <v>2279</v>
      </c>
      <c r="E65" s="319" t="s">
        <v>4542</v>
      </c>
      <c r="F65" s="319">
        <v>435</v>
      </c>
      <c r="G65" s="319">
        <f t="shared" si="45"/>
        <v>77533.93376708201</v>
      </c>
      <c r="H65" s="250">
        <f t="shared" si="46"/>
        <v>34.183908045977013</v>
      </c>
      <c r="I65" s="250">
        <f>$O$26/$O$24</f>
        <v>33.220640569395016</v>
      </c>
      <c r="J65" s="28">
        <f>I65/H65</f>
        <v>0.97182102539924886</v>
      </c>
      <c r="K65" s="230">
        <f>(1/J65-1.015)*100</f>
        <v>1.3996053660368712</v>
      </c>
      <c r="L65" s="228"/>
      <c r="N65" t="s">
        <v>25</v>
      </c>
      <c r="W65" s="456"/>
      <c r="X65" s="456"/>
      <c r="Y65" s="456"/>
      <c r="Z65" s="456"/>
      <c r="AC65" s="353"/>
      <c r="AD65" s="353"/>
      <c r="AE65" s="353"/>
      <c r="AF65" s="353"/>
      <c r="AG65" s="353"/>
    </row>
    <row r="66" spans="1:35" ht="21">
      <c r="A66" s="332" t="s">
        <v>6832</v>
      </c>
      <c r="B66" s="332" t="s">
        <v>6813</v>
      </c>
      <c r="C66" s="347">
        <v>14870</v>
      </c>
      <c r="D66" s="335">
        <v>2279</v>
      </c>
      <c r="E66" s="351" t="s">
        <v>4542</v>
      </c>
      <c r="F66" s="319">
        <v>435</v>
      </c>
      <c r="G66" s="319">
        <f t="shared" si="45"/>
        <v>77533.93376708201</v>
      </c>
      <c r="H66" s="250">
        <f t="shared" si="46"/>
        <v>34.183908045977013</v>
      </c>
      <c r="I66" s="250">
        <f>$O$26/$O$24</f>
        <v>33.220640569395016</v>
      </c>
      <c r="J66" s="28">
        <f>I66/H66</f>
        <v>0.97182102539924886</v>
      </c>
      <c r="K66" s="230">
        <f t="shared" ref="K66" si="55">(1/J66-1.015)*100</f>
        <v>1.3996053660368712</v>
      </c>
      <c r="L66" s="228"/>
      <c r="N66" t="s">
        <v>25</v>
      </c>
      <c r="W66" s="456"/>
      <c r="X66" s="456"/>
      <c r="Y66" s="456"/>
      <c r="Z66" s="456"/>
      <c r="AC66" s="353"/>
      <c r="AD66" s="353"/>
      <c r="AE66" s="353"/>
      <c r="AF66" s="353"/>
      <c r="AG66" s="353"/>
    </row>
    <row r="67" spans="1:35" ht="25.5" customHeight="1">
      <c r="A67" s="332" t="s">
        <v>6832</v>
      </c>
      <c r="B67" s="332" t="s">
        <v>6813</v>
      </c>
      <c r="C67" s="347">
        <v>15600</v>
      </c>
      <c r="D67" s="335">
        <v>40264</v>
      </c>
      <c r="E67" s="351" t="s">
        <v>4542</v>
      </c>
      <c r="F67" s="319">
        <v>438</v>
      </c>
      <c r="G67" s="319">
        <f t="shared" si="45"/>
        <v>1427227.4417065773</v>
      </c>
      <c r="H67" s="250">
        <f t="shared" si="46"/>
        <v>35.61643835616438</v>
      </c>
      <c r="I67" s="250">
        <f>$O$26/$O$24</f>
        <v>33.220640569395016</v>
      </c>
      <c r="J67" s="28">
        <f>I67/H67</f>
        <v>0.93273336983301403</v>
      </c>
      <c r="K67" s="230">
        <f>(1/J67-1.015)*100</f>
        <v>5.7117748053796769</v>
      </c>
      <c r="L67" s="228"/>
      <c r="N67" t="s">
        <v>25</v>
      </c>
      <c r="W67" s="456"/>
      <c r="X67" s="456"/>
      <c r="Y67" s="456"/>
      <c r="Z67" s="456"/>
      <c r="AC67" s="353"/>
      <c r="AD67" s="353"/>
      <c r="AE67" s="353"/>
      <c r="AF67" s="353"/>
      <c r="AG67" s="353"/>
    </row>
    <row r="68" spans="1:35" ht="21">
      <c r="A68" s="332" t="s">
        <v>6834</v>
      </c>
      <c r="B68" s="332" t="s">
        <v>6813</v>
      </c>
      <c r="C68" s="347">
        <v>16212</v>
      </c>
      <c r="D68" s="335">
        <v>224</v>
      </c>
      <c r="E68" s="351" t="s">
        <v>4542</v>
      </c>
      <c r="F68" s="319">
        <v>432</v>
      </c>
      <c r="G68" s="319">
        <f t="shared" si="45"/>
        <v>8366.1692987308925</v>
      </c>
      <c r="H68" s="250">
        <f t="shared" si="46"/>
        <v>37.527777777777779</v>
      </c>
      <c r="I68" s="250">
        <f>$O$26/$O$24</f>
        <v>33.220640569395016</v>
      </c>
      <c r="J68" s="28">
        <f>I68/H68</f>
        <v>0.8852280240549375</v>
      </c>
      <c r="K68" s="230">
        <f>(1/J68-1.015)*100</f>
        <v>11.46524430161282</v>
      </c>
      <c r="L68" s="228"/>
      <c r="N68" t="s">
        <v>25</v>
      </c>
      <c r="O68" t="s">
        <v>25</v>
      </c>
      <c r="W68" s="456"/>
      <c r="X68" s="456"/>
      <c r="Y68" s="456"/>
      <c r="Z68" s="456"/>
      <c r="AC68" s="353"/>
      <c r="AD68" s="353"/>
      <c r="AE68" s="353"/>
      <c r="AF68" s="353"/>
      <c r="AG68" s="353"/>
    </row>
    <row r="69" spans="1:35" ht="21">
      <c r="A69" s="332" t="s">
        <v>6834</v>
      </c>
      <c r="B69" s="332" t="s">
        <v>6813</v>
      </c>
      <c r="C69" s="347">
        <v>16756</v>
      </c>
      <c r="D69" s="335">
        <v>716</v>
      </c>
      <c r="E69" s="351" t="s">
        <v>4542</v>
      </c>
      <c r="F69" s="319">
        <v>435</v>
      </c>
      <c r="G69" s="319">
        <f t="shared" si="45"/>
        <v>27448.581090175932</v>
      </c>
      <c r="H69" s="250">
        <f t="shared" si="46"/>
        <v>38.51954022988506</v>
      </c>
      <c r="I69" s="250">
        <f>$O$26/$O$24</f>
        <v>33.220640569395016</v>
      </c>
      <c r="J69" s="28">
        <f t="shared" ref="J69" si="56">I69/H69</f>
        <v>0.86243606157118835</v>
      </c>
      <c r="K69" s="230">
        <f t="shared" ref="K69" si="57">(1/J69-1.015)*100</f>
        <v>14.450624580585991</v>
      </c>
      <c r="L69" s="228"/>
      <c r="O69" t="s">
        <v>25</v>
      </c>
      <c r="X69" s="456"/>
      <c r="Y69" s="456"/>
      <c r="Z69" s="456"/>
      <c r="AA69" s="456"/>
      <c r="AB69" s="456"/>
      <c r="AE69" s="353"/>
      <c r="AF69" s="353"/>
      <c r="AG69" s="353"/>
      <c r="AH69" s="353"/>
      <c r="AI69" s="353"/>
    </row>
    <row r="70" spans="1:35" ht="21">
      <c r="A70" s="332" t="s">
        <v>6832</v>
      </c>
      <c r="B70" s="332" t="s">
        <v>6813</v>
      </c>
      <c r="C70" s="347">
        <v>15800</v>
      </c>
      <c r="D70" s="335">
        <v>97579</v>
      </c>
      <c r="E70" s="350" t="s">
        <v>5139</v>
      </c>
      <c r="F70" s="299">
        <v>564.09649999999999</v>
      </c>
      <c r="G70" s="299">
        <f t="shared" si="45"/>
        <v>2720105.991936069</v>
      </c>
      <c r="H70" s="227">
        <f t="shared" si="46"/>
        <v>28.009392010055016</v>
      </c>
      <c r="I70" s="227">
        <f t="shared" ref="I70:I78" si="58">$O$26/$O$23</f>
        <v>21.798903008580432</v>
      </c>
      <c r="J70" s="28">
        <f t="shared" ref="J70:J79" si="59">I70/H70</f>
        <v>0.77827119563162606</v>
      </c>
      <c r="K70" s="230">
        <f t="shared" ref="K70:K74" si="60">(1/J70-1.015)*100</f>
        <v>26.989915290829213</v>
      </c>
      <c r="L70" s="228"/>
      <c r="N70" t="s">
        <v>25</v>
      </c>
      <c r="X70" s="456"/>
      <c r="Y70" s="456"/>
      <c r="Z70" s="456"/>
      <c r="AA70" s="456"/>
      <c r="AB70" s="456"/>
      <c r="AE70" s="353"/>
      <c r="AF70" s="353"/>
      <c r="AG70" s="353"/>
      <c r="AH70" s="353"/>
      <c r="AI70" s="353"/>
    </row>
    <row r="71" spans="1:35" ht="21">
      <c r="A71" s="332" t="s">
        <v>6834</v>
      </c>
      <c r="B71" s="332" t="s">
        <v>6813</v>
      </c>
      <c r="C71" s="347">
        <v>16212</v>
      </c>
      <c r="D71" s="335">
        <v>12020</v>
      </c>
      <c r="E71" s="350" t="s">
        <v>5139</v>
      </c>
      <c r="F71" s="299">
        <v>568.19000000000005</v>
      </c>
      <c r="G71" s="299">
        <f t="shared" si="45"/>
        <v>341329.05544801702</v>
      </c>
      <c r="H71" s="227">
        <f t="shared" si="46"/>
        <v>28.53270912898854</v>
      </c>
      <c r="I71" s="227">
        <f t="shared" si="58"/>
        <v>21.798903008580432</v>
      </c>
      <c r="J71" s="28">
        <f t="shared" si="59"/>
        <v>0.76399695907015275</v>
      </c>
      <c r="K71" s="230">
        <f t="shared" si="60"/>
        <v>29.39057333645443</v>
      </c>
      <c r="L71" s="228"/>
      <c r="X71" s="456"/>
      <c r="Y71" s="456"/>
      <c r="Z71" s="456"/>
      <c r="AA71" s="456"/>
      <c r="AB71" s="456"/>
      <c r="AE71" s="353"/>
      <c r="AF71" s="353"/>
      <c r="AG71" s="353"/>
      <c r="AH71" s="353"/>
      <c r="AI71" s="353"/>
    </row>
    <row r="72" spans="1:35" ht="21" customHeight="1">
      <c r="A72" s="332" t="s">
        <v>6835</v>
      </c>
      <c r="B72" s="332" t="s">
        <v>6813</v>
      </c>
      <c r="C72" s="347">
        <v>16235</v>
      </c>
      <c r="D72" s="335">
        <v>6214</v>
      </c>
      <c r="E72" s="350" t="s">
        <v>5139</v>
      </c>
      <c r="F72" s="372">
        <v>556</v>
      </c>
      <c r="G72" s="372">
        <f t="shared" si="45"/>
        <v>180582.03069431783</v>
      </c>
      <c r="H72" s="369">
        <f t="shared" si="46"/>
        <v>29.199640287769785</v>
      </c>
      <c r="I72" s="369">
        <f t="shared" si="58"/>
        <v>21.798903008580432</v>
      </c>
      <c r="J72" s="357">
        <f t="shared" si="59"/>
        <v>0.74654697091288691</v>
      </c>
      <c r="K72" s="371">
        <f t="shared" si="60"/>
        <v>32.450044533324899</v>
      </c>
      <c r="L72" s="370"/>
      <c r="O72" t="s">
        <v>25</v>
      </c>
      <c r="X72" s="456"/>
      <c r="Y72" s="456"/>
      <c r="Z72" s="456"/>
      <c r="AA72" s="456"/>
      <c r="AB72" s="456"/>
      <c r="AE72" s="353"/>
      <c r="AF72" s="353"/>
      <c r="AG72" s="353"/>
      <c r="AH72" s="353"/>
      <c r="AI72" s="353"/>
    </row>
    <row r="73" spans="1:35" ht="21">
      <c r="A73" s="332" t="s">
        <v>6834</v>
      </c>
      <c r="B73" s="332" t="s">
        <v>6813</v>
      </c>
      <c r="C73" s="347">
        <v>16756</v>
      </c>
      <c r="D73" s="335">
        <v>31581</v>
      </c>
      <c r="E73" s="350" t="s">
        <v>5139</v>
      </c>
      <c r="F73" s="299">
        <v>560</v>
      </c>
      <c r="G73" s="299">
        <f t="shared" si="45"/>
        <v>940446.26182873116</v>
      </c>
      <c r="H73" s="227">
        <f t="shared" si="46"/>
        <v>29.921428571428571</v>
      </c>
      <c r="I73" s="227">
        <f t="shared" si="58"/>
        <v>21.798903008580432</v>
      </c>
      <c r="J73" s="28">
        <f t="shared" si="59"/>
        <v>0.72853817646246366</v>
      </c>
      <c r="K73" s="230">
        <f t="shared" si="60"/>
        <v>35.761166580955802</v>
      </c>
      <c r="L73" s="228"/>
      <c r="P73" t="s">
        <v>25</v>
      </c>
      <c r="X73" s="456"/>
      <c r="Y73" s="456"/>
      <c r="Z73" s="456"/>
      <c r="AA73" s="456"/>
      <c r="AB73" s="456"/>
      <c r="AE73" s="353"/>
      <c r="AF73" s="353"/>
      <c r="AG73" s="353"/>
      <c r="AH73" s="353"/>
      <c r="AI73" s="353"/>
    </row>
    <row r="74" spans="1:35" ht="21">
      <c r="A74" s="332" t="s">
        <v>6835</v>
      </c>
      <c r="B74" s="332" t="s">
        <v>6813</v>
      </c>
      <c r="C74" s="347">
        <v>17050</v>
      </c>
      <c r="D74" s="335">
        <v>10193</v>
      </c>
      <c r="E74" s="350" t="s">
        <v>5139</v>
      </c>
      <c r="F74" s="299">
        <v>560</v>
      </c>
      <c r="G74" s="299">
        <f t="shared" si="45"/>
        <v>308861.7748174154</v>
      </c>
      <c r="H74" s="227">
        <f t="shared" si="46"/>
        <v>30.446428571428573</v>
      </c>
      <c r="I74" s="227">
        <f t="shared" si="58"/>
        <v>21.798903008580432</v>
      </c>
      <c r="J74" s="28">
        <f t="shared" si="59"/>
        <v>0.71597569998856547</v>
      </c>
      <c r="K74" s="230">
        <f t="shared" si="60"/>
        <v>38.169544652977841</v>
      </c>
      <c r="L74" s="228"/>
      <c r="N74" t="s">
        <v>25</v>
      </c>
      <c r="O74" t="s">
        <v>25</v>
      </c>
      <c r="X74" s="456"/>
      <c r="Y74" s="456"/>
      <c r="Z74" s="456"/>
      <c r="AA74" s="456"/>
      <c r="AB74" s="456"/>
      <c r="AE74" s="353"/>
      <c r="AF74" s="353"/>
      <c r="AG74" s="353"/>
      <c r="AH74" s="353"/>
      <c r="AI74" s="353"/>
    </row>
    <row r="75" spans="1:35" ht="21" customHeight="1">
      <c r="A75" s="332" t="s">
        <v>6820</v>
      </c>
      <c r="B75" s="332" t="s">
        <v>6813</v>
      </c>
      <c r="C75" s="347">
        <v>14976</v>
      </c>
      <c r="D75" s="335">
        <v>584</v>
      </c>
      <c r="E75" s="350" t="s">
        <v>5139</v>
      </c>
      <c r="F75" s="372">
        <v>543</v>
      </c>
      <c r="G75" s="372">
        <f t="shared" si="45"/>
        <v>16030.040924111199</v>
      </c>
      <c r="H75" s="369">
        <f t="shared" si="46"/>
        <v>27.58011049723757</v>
      </c>
      <c r="I75" s="369">
        <f t="shared" si="58"/>
        <v>21.798903008580432</v>
      </c>
      <c r="J75" s="357">
        <f t="shared" ref="J75" si="61">I75/H75</f>
        <v>0.79038490475822476</v>
      </c>
      <c r="K75" s="371">
        <f t="shared" ref="K75" si="62">(1/J75-1.015)*100</f>
        <v>25.020634943793073</v>
      </c>
      <c r="L75" s="370"/>
      <c r="N75" t="s">
        <v>25</v>
      </c>
      <c r="O75" t="s">
        <v>25</v>
      </c>
      <c r="X75" s="456"/>
      <c r="Y75" s="456"/>
      <c r="Z75" s="456"/>
      <c r="AA75" s="456"/>
      <c r="AB75" s="456"/>
      <c r="AE75" s="353"/>
      <c r="AF75" s="353"/>
      <c r="AG75" s="353"/>
      <c r="AH75" s="353"/>
      <c r="AI75" s="353"/>
    </row>
    <row r="76" spans="1:35" ht="21">
      <c r="A76" s="332" t="s">
        <v>6820</v>
      </c>
      <c r="B76" s="332" t="s">
        <v>6813</v>
      </c>
      <c r="C76" s="347">
        <v>14969</v>
      </c>
      <c r="D76" s="335">
        <v>43109</v>
      </c>
      <c r="E76" s="350" t="s">
        <v>5139</v>
      </c>
      <c r="F76" s="372">
        <v>541</v>
      </c>
      <c r="G76" s="372">
        <f t="shared" si="45"/>
        <v>1187105.3276976866</v>
      </c>
      <c r="H76" s="369">
        <f t="shared" si="46"/>
        <v>27.669131238447321</v>
      </c>
      <c r="I76" s="369">
        <f t="shared" si="58"/>
        <v>21.798903008580432</v>
      </c>
      <c r="J76" s="357">
        <f t="shared" ref="J76" si="63">I76/H76</f>
        <v>0.78784197525833477</v>
      </c>
      <c r="K76" s="371">
        <f t="shared" ref="K76" si="64">(1/J76-1.015)*100</f>
        <v>25.429007517287761</v>
      </c>
      <c r="L76" s="370"/>
      <c r="N76" t="s">
        <v>25</v>
      </c>
      <c r="O76" t="s">
        <v>25</v>
      </c>
      <c r="X76" s="456"/>
      <c r="Y76" s="456"/>
      <c r="Z76" s="456"/>
      <c r="AA76" s="456"/>
      <c r="AB76" s="456"/>
      <c r="AE76" s="353"/>
      <c r="AF76" s="353"/>
      <c r="AG76" s="353"/>
      <c r="AH76" s="353"/>
      <c r="AI76" s="353"/>
    </row>
    <row r="77" spans="1:35" ht="21">
      <c r="A77" s="332" t="s">
        <v>6841</v>
      </c>
      <c r="B77" s="332" t="s">
        <v>6813</v>
      </c>
      <c r="C77" s="347">
        <v>14870</v>
      </c>
      <c r="D77" s="335">
        <v>43136</v>
      </c>
      <c r="E77" s="350" t="s">
        <v>5139</v>
      </c>
      <c r="F77" s="372">
        <v>541.11710000000005</v>
      </c>
      <c r="G77" s="372">
        <f t="shared" si="45"/>
        <v>1179737.4412215259</v>
      </c>
      <c r="H77" s="369">
        <f t="shared" si="46"/>
        <v>27.480188668959084</v>
      </c>
      <c r="I77" s="369">
        <f t="shared" si="58"/>
        <v>21.798903008580432</v>
      </c>
      <c r="J77" s="357">
        <f t="shared" ref="J77:J78" si="65">I77/H77</f>
        <v>0.7932588553587302</v>
      </c>
      <c r="K77" s="371">
        <f t="shared" ref="K77:K78" si="66">(1/J77-1.015)*100</f>
        <v>24.562254867331635</v>
      </c>
      <c r="L77" s="370"/>
      <c r="N77" t="s">
        <v>25</v>
      </c>
      <c r="X77" s="456"/>
      <c r="Y77" s="456"/>
      <c r="Z77" s="456"/>
      <c r="AA77" s="456"/>
      <c r="AB77" s="456"/>
      <c r="AE77" s="353"/>
      <c r="AF77" s="353"/>
      <c r="AG77" s="353"/>
      <c r="AH77" s="353"/>
      <c r="AI77" s="353"/>
    </row>
    <row r="78" spans="1:35" ht="21">
      <c r="A78" s="332" t="s">
        <v>6841</v>
      </c>
      <c r="B78" s="332" t="s">
        <v>6813</v>
      </c>
      <c r="C78" s="347">
        <v>14920</v>
      </c>
      <c r="D78" s="335">
        <v>109651</v>
      </c>
      <c r="E78" s="350" t="s">
        <v>5139</v>
      </c>
      <c r="F78" s="372">
        <v>541.15419999999995</v>
      </c>
      <c r="G78" s="372">
        <f t="shared" si="45"/>
        <v>3008750.4525413048</v>
      </c>
      <c r="H78" s="369">
        <f t="shared" si="46"/>
        <v>27.570699811624859</v>
      </c>
      <c r="I78" s="369">
        <f t="shared" si="58"/>
        <v>21.798903008580432</v>
      </c>
      <c r="J78" s="357">
        <f t="shared" si="65"/>
        <v>0.79065468622559887</v>
      </c>
      <c r="K78" s="371">
        <f t="shared" si="66"/>
        <v>24.97746448879812</v>
      </c>
      <c r="L78" s="370"/>
      <c r="O78" t="s">
        <v>25</v>
      </c>
      <c r="X78" s="456"/>
      <c r="Y78" s="456"/>
      <c r="Z78" s="456"/>
      <c r="AA78" s="456"/>
      <c r="AB78" s="456"/>
      <c r="AE78" s="353"/>
      <c r="AF78" s="353"/>
      <c r="AG78" s="353"/>
      <c r="AH78" s="353"/>
      <c r="AI78" s="353"/>
    </row>
    <row r="79" spans="1:35" ht="21">
      <c r="A79" s="332" t="s">
        <v>6832</v>
      </c>
      <c r="B79" s="332" t="s">
        <v>6813</v>
      </c>
      <c r="C79" s="347">
        <v>15990</v>
      </c>
      <c r="D79" s="335">
        <v>1</v>
      </c>
      <c r="E79" s="349" t="s">
        <v>6833</v>
      </c>
      <c r="F79" s="335">
        <v>10912</v>
      </c>
      <c r="G79" s="335">
        <f>C79*D79*0.99885/(F79*1.00115)</f>
        <v>1.4619927827133694</v>
      </c>
      <c r="H79" s="332">
        <f t="shared" si="46"/>
        <v>1.4653592375366569</v>
      </c>
      <c r="I79" s="332">
        <f>$O$26/$O$31</f>
        <v>1.2045161290322581</v>
      </c>
      <c r="J79" s="28">
        <f t="shared" si="59"/>
        <v>0.82199374609130715</v>
      </c>
      <c r="K79" s="230">
        <f>(1/J79-1.0046)*100</f>
        <v>21.195426790670481</v>
      </c>
      <c r="L79" s="228"/>
      <c r="O79" t="s">
        <v>25</v>
      </c>
      <c r="X79" s="456"/>
      <c r="Y79" s="456"/>
      <c r="Z79" s="456"/>
      <c r="AA79" s="456"/>
      <c r="AB79" s="456"/>
      <c r="AE79" s="353"/>
      <c r="AF79" s="353"/>
      <c r="AG79" s="353"/>
      <c r="AH79" s="353"/>
      <c r="AI79" s="353"/>
    </row>
    <row r="80" spans="1:35" ht="21">
      <c r="A80" s="332"/>
      <c r="B80" s="332"/>
      <c r="C80" s="347"/>
      <c r="D80" s="335"/>
      <c r="E80" s="348"/>
      <c r="F80" s="302"/>
      <c r="G80" s="302"/>
      <c r="H80" s="225"/>
      <c r="I80" s="225"/>
      <c r="J80" s="28"/>
      <c r="K80" s="230"/>
      <c r="L80" s="228"/>
      <c r="N80" t="s">
        <v>25</v>
      </c>
      <c r="R80" t="s">
        <v>25</v>
      </c>
      <c r="V80" s="537"/>
      <c r="W80" s="456"/>
      <c r="X80" s="456"/>
      <c r="Y80" s="456"/>
      <c r="Z80" s="456"/>
      <c r="AC80" s="353"/>
      <c r="AD80" s="353"/>
      <c r="AE80" s="353"/>
      <c r="AF80" s="353"/>
      <c r="AG80" s="353"/>
    </row>
    <row r="81" spans="1:37" ht="21">
      <c r="A81" s="332"/>
      <c r="B81" s="332"/>
      <c r="C81" s="347"/>
      <c r="D81" s="335"/>
      <c r="E81" s="341"/>
      <c r="F81" s="341"/>
      <c r="G81" s="331"/>
      <c r="H81" s="341"/>
      <c r="I81" s="341"/>
      <c r="J81" s="341"/>
      <c r="K81" s="342"/>
      <c r="L81" s="341"/>
      <c r="V81" s="537"/>
      <c r="W81" s="456"/>
      <c r="X81" s="456"/>
      <c r="Y81" s="456"/>
      <c r="Z81" s="456"/>
      <c r="AC81" s="353"/>
      <c r="AD81" s="353"/>
      <c r="AE81" s="353"/>
      <c r="AF81" s="353"/>
      <c r="AG81" s="353"/>
    </row>
    <row r="82" spans="1:37" ht="21">
      <c r="A82" s="225" t="s">
        <v>6775</v>
      </c>
      <c r="B82" s="225" t="s">
        <v>4134</v>
      </c>
      <c r="C82" s="224">
        <v>1196.5446937999241</v>
      </c>
      <c r="D82" s="225">
        <v>1.0981620718462823</v>
      </c>
      <c r="E82" s="315" t="s">
        <v>4400</v>
      </c>
      <c r="F82" s="315">
        <v>785.87</v>
      </c>
      <c r="G82" s="315">
        <f>C82*D82*0.9912/(F82*1.003631981)</f>
        <v>1.6513208201489087</v>
      </c>
      <c r="H82" s="315">
        <f>C82/F82</f>
        <v>1.5225733184876939</v>
      </c>
      <c r="I82" s="315">
        <f>$O$22/$O$29</f>
        <v>1.7478485370051635</v>
      </c>
      <c r="J82" s="315">
        <f>I82/H82</f>
        <v>1.1479568936235043</v>
      </c>
      <c r="K82" s="316">
        <f>(1/J82-1.0256)*100</f>
        <v>-15.448715111634659</v>
      </c>
      <c r="L82" s="315"/>
      <c r="N82" t="s">
        <v>25</v>
      </c>
      <c r="P82" t="s">
        <v>25</v>
      </c>
      <c r="T82" t="s">
        <v>25</v>
      </c>
      <c r="V82" s="537"/>
      <c r="W82" s="456"/>
      <c r="X82" s="456"/>
      <c r="Y82" s="456"/>
      <c r="Z82" s="456"/>
      <c r="AC82" s="353"/>
      <c r="AD82" s="353"/>
      <c r="AE82" s="353"/>
      <c r="AF82" s="353"/>
      <c r="AG82" s="353"/>
    </row>
    <row r="83" spans="1:37" ht="21">
      <c r="A83" s="225"/>
      <c r="B83" s="225"/>
      <c r="C83" s="224"/>
      <c r="D83" s="225"/>
      <c r="E83" s="315"/>
      <c r="F83" s="315"/>
      <c r="G83" s="315"/>
      <c r="H83" s="315"/>
      <c r="I83" s="315"/>
      <c r="J83" s="315"/>
      <c r="K83" s="316"/>
      <c r="L83" s="315"/>
      <c r="P83" t="s">
        <v>25</v>
      </c>
      <c r="V83" s="537"/>
      <c r="W83" s="356"/>
      <c r="X83" s="456"/>
      <c r="Y83" s="456"/>
      <c r="Z83" s="456"/>
      <c r="AC83" s="353"/>
      <c r="AD83" s="353"/>
      <c r="AE83" s="353"/>
      <c r="AF83" s="353"/>
      <c r="AG83" s="353"/>
    </row>
    <row r="84" spans="1:37">
      <c r="A84" s="307" t="s">
        <v>5281</v>
      </c>
      <c r="B84" s="28"/>
      <c r="C84" s="1"/>
      <c r="D84" s="28"/>
      <c r="E84" s="28"/>
      <c r="F84" s="1"/>
      <c r="G84" s="28"/>
      <c r="H84" s="28"/>
      <c r="I84" s="28"/>
      <c r="J84" s="28"/>
      <c r="K84" s="28"/>
      <c r="L84" s="28"/>
      <c r="O84" t="s">
        <v>5357</v>
      </c>
      <c r="T84" t="s">
        <v>25</v>
      </c>
      <c r="W84" s="456"/>
      <c r="X84" s="456"/>
      <c r="Y84" s="456"/>
      <c r="Z84" s="456"/>
      <c r="AC84" s="353"/>
      <c r="AD84" s="353"/>
      <c r="AE84" s="353"/>
      <c r="AF84" s="353"/>
      <c r="AG84" s="353"/>
    </row>
    <row r="85" spans="1:37" ht="15.75">
      <c r="A85" s="229" t="s">
        <v>6695</v>
      </c>
      <c r="B85" s="225" t="s">
        <v>4134</v>
      </c>
      <c r="C85" s="224">
        <v>1321.2985926207684</v>
      </c>
      <c r="D85" s="302">
        <v>19427.703263528358</v>
      </c>
      <c r="E85" s="227" t="s">
        <v>5139</v>
      </c>
      <c r="F85" s="226">
        <v>486.84610260918487</v>
      </c>
      <c r="G85" s="299">
        <f t="shared" ref="G85:G111" si="67">C85*D85*0.9912/(F85*1.003631981)</f>
        <v>52073.592214102442</v>
      </c>
      <c r="H85" s="227">
        <f t="shared" ref="H85:H111" si="68">C85/F85</f>
        <v>2.7139964468020796</v>
      </c>
      <c r="I85" s="227">
        <f t="shared" ref="I85:I111" si="69">$O$22/$O$23</f>
        <v>2.3713750407298799</v>
      </c>
      <c r="J85" s="227">
        <f>I85/H85</f>
        <v>0.87375760698732208</v>
      </c>
      <c r="K85" s="227">
        <f>(1/J85-1.0256)*100</f>
        <v>11.888216759789483</v>
      </c>
      <c r="L85" s="227"/>
      <c r="O85" t="s">
        <v>5358</v>
      </c>
      <c r="T85" s="537"/>
      <c r="U85" s="537"/>
      <c r="V85" s="537"/>
      <c r="AG85" s="353"/>
      <c r="AH85" s="353"/>
      <c r="AI85" s="353"/>
      <c r="AJ85" s="353"/>
      <c r="AK85" s="353"/>
    </row>
    <row r="86" spans="1:37" ht="15.75">
      <c r="A86" s="229" t="s">
        <v>6699</v>
      </c>
      <c r="B86" s="225" t="s">
        <v>4134</v>
      </c>
      <c r="C86" s="224">
        <v>1322.2092050209205</v>
      </c>
      <c r="D86" s="302">
        <v>19425.955821644486</v>
      </c>
      <c r="E86" s="227" t="s">
        <v>5139</v>
      </c>
      <c r="F86" s="226">
        <v>486.84610260918487</v>
      </c>
      <c r="G86" s="299">
        <f t="shared" si="67"/>
        <v>52104.793252817217</v>
      </c>
      <c r="H86" s="227">
        <f t="shared" si="68"/>
        <v>2.7158668785366089</v>
      </c>
      <c r="I86" s="227">
        <f t="shared" si="69"/>
        <v>2.3713750407298799</v>
      </c>
      <c r="J86" s="227">
        <f>I86/H86</f>
        <v>0.87315584555000292</v>
      </c>
      <c r="K86" s="227">
        <f>(1/J86-1.0256)*100</f>
        <v>11.967092167618443</v>
      </c>
      <c r="L86" s="227"/>
      <c r="O86" t="s">
        <v>5359</v>
      </c>
      <c r="U86" s="368"/>
      <c r="Y86" s="382"/>
      <c r="AD86" s="353"/>
      <c r="AE86" s="353"/>
      <c r="AF86" s="353"/>
      <c r="AG86" s="353"/>
    </row>
    <row r="87" spans="1:37" ht="15.75">
      <c r="A87" s="229" t="s">
        <v>6699</v>
      </c>
      <c r="B87" s="225" t="s">
        <v>4134</v>
      </c>
      <c r="C87" s="224">
        <v>1323.1198174210726</v>
      </c>
      <c r="D87" s="302">
        <v>19424.208379760723</v>
      </c>
      <c r="E87" s="227" t="s">
        <v>5139</v>
      </c>
      <c r="F87" s="226">
        <v>486.84610260918487</v>
      </c>
      <c r="G87" s="299">
        <f t="shared" si="67"/>
        <v>52135.987835563828</v>
      </c>
      <c r="H87" s="227">
        <f t="shared" si="68"/>
        <v>2.7177373102711382</v>
      </c>
      <c r="I87" s="227">
        <f t="shared" si="69"/>
        <v>2.3713750407298799</v>
      </c>
      <c r="J87" s="227">
        <f t="shared" ref="J87:J103" si="70">I87/H87</f>
        <v>0.87255491241473115</v>
      </c>
      <c r="K87" s="227">
        <f t="shared" ref="K87:K103" si="71">(1/J87-1.0256)*100</f>
        <v>12.045967575447358</v>
      </c>
      <c r="L87" s="227"/>
      <c r="N87" t="s">
        <v>25</v>
      </c>
      <c r="O87" t="s">
        <v>5360</v>
      </c>
      <c r="T87" t="s">
        <v>25</v>
      </c>
      <c r="U87" s="515"/>
      <c r="Y87" s="382"/>
      <c r="Z87" s="382"/>
      <c r="AA87" s="382"/>
      <c r="AB87" s="382"/>
      <c r="AC87" s="382"/>
      <c r="AD87" s="353"/>
      <c r="AE87" s="353"/>
      <c r="AF87" s="353"/>
      <c r="AG87" s="353"/>
      <c r="AK87" s="353"/>
    </row>
    <row r="88" spans="1:37" ht="15.75">
      <c r="A88" s="229" t="s">
        <v>6699</v>
      </c>
      <c r="B88" s="225" t="s">
        <v>4134</v>
      </c>
      <c r="C88" s="224">
        <v>1324.0304298212247</v>
      </c>
      <c r="D88" s="302">
        <v>19422.460937876847</v>
      </c>
      <c r="E88" s="227" t="s">
        <v>5139</v>
      </c>
      <c r="F88" s="226">
        <v>486.84610260918487</v>
      </c>
      <c r="G88" s="299">
        <f t="shared" si="67"/>
        <v>52167.175962341658</v>
      </c>
      <c r="H88" s="227">
        <f t="shared" si="68"/>
        <v>2.7196077420056675</v>
      </c>
      <c r="I88" s="227">
        <f t="shared" si="69"/>
        <v>2.3713750407298799</v>
      </c>
      <c r="J88" s="227">
        <f t="shared" si="70"/>
        <v>0.87195480587249263</v>
      </c>
      <c r="K88" s="227">
        <f t="shared" si="71"/>
        <v>12.124842983276318</v>
      </c>
      <c r="L88" s="227"/>
      <c r="O88" t="s">
        <v>5361</v>
      </c>
      <c r="U88" s="515"/>
      <c r="Y88" s="382"/>
      <c r="Z88" s="382"/>
      <c r="AA88" s="382"/>
      <c r="AB88" s="382"/>
      <c r="AC88" s="382"/>
      <c r="AD88" s="353"/>
      <c r="AE88" s="353"/>
      <c r="AF88" s="353"/>
      <c r="AG88" s="353"/>
      <c r="AK88" s="368"/>
    </row>
    <row r="89" spans="1:37" ht="15.75">
      <c r="A89" s="229" t="s">
        <v>6699</v>
      </c>
      <c r="B89" s="225" t="s">
        <v>4134</v>
      </c>
      <c r="C89" s="224">
        <v>1324.9410422213771</v>
      </c>
      <c r="D89" s="302">
        <v>19420.713495993088</v>
      </c>
      <c r="E89" s="227" t="s">
        <v>5139</v>
      </c>
      <c r="F89" s="226">
        <v>486.84610260918487</v>
      </c>
      <c r="G89" s="299">
        <f t="shared" si="67"/>
        <v>52198.357633151354</v>
      </c>
      <c r="H89" s="227">
        <f t="shared" si="68"/>
        <v>2.7214781737401972</v>
      </c>
      <c r="I89" s="227">
        <f t="shared" si="69"/>
        <v>2.3713750407298799</v>
      </c>
      <c r="J89" s="227">
        <f t="shared" si="70"/>
        <v>0.871355524218972</v>
      </c>
      <c r="K89" s="227">
        <f t="shared" si="71"/>
        <v>12.203718391105255</v>
      </c>
      <c r="L89" s="227"/>
      <c r="O89" t="s">
        <v>5362</v>
      </c>
      <c r="T89" s="562"/>
      <c r="U89" s="562"/>
      <c r="V89" s="562"/>
      <c r="W89" s="562"/>
      <c r="X89" s="562"/>
      <c r="Y89" s="382"/>
      <c r="Z89" s="382"/>
      <c r="AA89" s="382"/>
      <c r="AB89" s="382"/>
      <c r="AC89" s="382"/>
      <c r="AD89" s="353"/>
      <c r="AE89" s="353"/>
      <c r="AF89" s="353"/>
      <c r="AG89" s="353"/>
      <c r="AK89" s="353"/>
    </row>
    <row r="90" spans="1:37" ht="15.75">
      <c r="A90" s="229" t="s">
        <v>6699</v>
      </c>
      <c r="B90" s="225" t="s">
        <v>4134</v>
      </c>
      <c r="C90" s="224">
        <v>1325.8516546215292</v>
      </c>
      <c r="D90" s="302">
        <v>19418.966054109322</v>
      </c>
      <c r="E90" s="227" t="s">
        <v>5139</v>
      </c>
      <c r="F90" s="226">
        <v>486.84610260918487</v>
      </c>
      <c r="G90" s="299">
        <f t="shared" si="67"/>
        <v>52229.532847992545</v>
      </c>
      <c r="H90" s="227">
        <f t="shared" si="68"/>
        <v>2.7233486054747265</v>
      </c>
      <c r="I90" s="227">
        <f t="shared" si="69"/>
        <v>2.3713750407298799</v>
      </c>
      <c r="J90" s="227">
        <f t="shared" si="70"/>
        <v>0.87075706575453582</v>
      </c>
      <c r="K90" s="227">
        <f t="shared" si="71"/>
        <v>12.282593798934194</v>
      </c>
      <c r="L90" s="227"/>
      <c r="T90" s="562"/>
      <c r="U90" s="562"/>
      <c r="V90" s="562"/>
      <c r="W90" s="562"/>
      <c r="X90" s="562"/>
      <c r="Y90" s="382"/>
      <c r="Z90" s="382"/>
      <c r="AA90" s="382"/>
      <c r="AB90" s="382"/>
      <c r="AC90" s="382"/>
      <c r="AD90" s="353"/>
      <c r="AE90" s="353"/>
      <c r="AF90" s="353"/>
      <c r="AG90" s="353"/>
      <c r="AK90" s="353"/>
    </row>
    <row r="91" spans="1:37" ht="15.75">
      <c r="A91" s="229" t="s">
        <v>6699</v>
      </c>
      <c r="B91" s="225" t="s">
        <v>4134</v>
      </c>
      <c r="C91" s="224">
        <v>1326.7622670216813</v>
      </c>
      <c r="D91" s="302">
        <v>19417.21861222545</v>
      </c>
      <c r="E91" s="227" t="s">
        <v>5139</v>
      </c>
      <c r="F91" s="226">
        <v>486.84610260918487</v>
      </c>
      <c r="G91" s="299">
        <f t="shared" si="67"/>
        <v>52260.701606864997</v>
      </c>
      <c r="H91" s="227">
        <f t="shared" si="68"/>
        <v>2.7252190372092557</v>
      </c>
      <c r="I91" s="227">
        <f t="shared" si="69"/>
        <v>2.3713750407298799</v>
      </c>
      <c r="J91" s="227">
        <f t="shared" si="70"/>
        <v>0.87015942878421704</v>
      </c>
      <c r="K91" s="227">
        <f t="shared" si="71"/>
        <v>12.361469206763132</v>
      </c>
      <c r="L91" s="227"/>
      <c r="O91" t="s">
        <v>25</v>
      </c>
      <c r="T91" s="562"/>
      <c r="U91" s="562"/>
      <c r="V91" s="562"/>
      <c r="W91" s="562"/>
      <c r="X91" s="562"/>
      <c r="Y91" s="382"/>
      <c r="Z91" s="368"/>
      <c r="AA91" s="382"/>
      <c r="AB91" s="382"/>
      <c r="AC91" s="382"/>
      <c r="AD91" s="353"/>
      <c r="AE91" s="353"/>
      <c r="AF91" s="353"/>
      <c r="AG91" s="353"/>
      <c r="AK91" t="s">
        <v>25</v>
      </c>
    </row>
    <row r="92" spans="1:37" ht="15.75">
      <c r="A92" s="229" t="s">
        <v>6699</v>
      </c>
      <c r="B92" s="225" t="s">
        <v>4134</v>
      </c>
      <c r="C92" s="224">
        <v>1327.6728794218334</v>
      </c>
      <c r="D92" s="302">
        <v>19415.471170341687</v>
      </c>
      <c r="E92" s="227" t="s">
        <v>5139</v>
      </c>
      <c r="F92" s="226">
        <v>486.84610260918487</v>
      </c>
      <c r="G92" s="299">
        <f t="shared" si="67"/>
        <v>52291.863909769265</v>
      </c>
      <c r="H92" s="227">
        <f t="shared" si="68"/>
        <v>2.727089468943785</v>
      </c>
      <c r="I92" s="227">
        <f t="shared" si="69"/>
        <v>2.3713750407298799</v>
      </c>
      <c r="J92" s="227">
        <f t="shared" si="70"/>
        <v>0.86956261161769843</v>
      </c>
      <c r="K92" s="227">
        <f t="shared" si="71"/>
        <v>12.440344614592069</v>
      </c>
      <c r="L92" s="227"/>
      <c r="Y92" s="382"/>
      <c r="Z92" s="382"/>
      <c r="AA92" s="382"/>
      <c r="AB92" s="382"/>
      <c r="AC92" s="382"/>
      <c r="AD92" s="353"/>
      <c r="AE92" s="353"/>
      <c r="AF92" s="353"/>
      <c r="AG92" s="353"/>
    </row>
    <row r="93" spans="1:37" ht="15.75">
      <c r="A93" s="229" t="s">
        <v>6699</v>
      </c>
      <c r="B93" s="225" t="s">
        <v>4134</v>
      </c>
      <c r="C93" s="224">
        <v>1339.5108406238114</v>
      </c>
      <c r="D93" s="302">
        <v>19415.316517360377</v>
      </c>
      <c r="E93" s="227" t="s">
        <v>5139</v>
      </c>
      <c r="F93" s="226">
        <v>491.15716618608906</v>
      </c>
      <c r="G93" s="299">
        <f t="shared" si="67"/>
        <v>52294.621540621032</v>
      </c>
      <c r="H93" s="227">
        <f t="shared" si="68"/>
        <v>2.7272550068348167</v>
      </c>
      <c r="I93" s="227">
        <f t="shared" si="69"/>
        <v>2.3713750407298799</v>
      </c>
      <c r="J93" s="227">
        <f t="shared" si="70"/>
        <v>0.86950983123578085</v>
      </c>
      <c r="K93" s="227">
        <f t="shared" si="71"/>
        <v>12.447325285645295</v>
      </c>
      <c r="L93" s="227"/>
      <c r="O93" t="s">
        <v>25</v>
      </c>
      <c r="W93" t="s">
        <v>25</v>
      </c>
      <c r="Y93" s="382"/>
      <c r="Z93" s="382"/>
      <c r="AA93" s="382"/>
      <c r="AB93" s="382"/>
      <c r="AC93" s="382"/>
      <c r="AD93" s="353"/>
      <c r="AE93" s="353"/>
      <c r="AF93" s="353"/>
      <c r="AG93" s="353"/>
    </row>
    <row r="94" spans="1:37" ht="15.75">
      <c r="A94" s="229" t="s">
        <v>6699</v>
      </c>
      <c r="B94" s="225" t="s">
        <v>4134</v>
      </c>
      <c r="C94" s="224">
        <v>1328.5834918219855</v>
      </c>
      <c r="D94" s="302">
        <v>19413.723728457924</v>
      </c>
      <c r="E94" s="227" t="s">
        <v>5139</v>
      </c>
      <c r="F94" s="226">
        <v>486.84610260918487</v>
      </c>
      <c r="G94" s="299">
        <f t="shared" si="67"/>
        <v>52323.019756705064</v>
      </c>
      <c r="H94" s="227">
        <f t="shared" si="68"/>
        <v>2.7289599006783143</v>
      </c>
      <c r="I94" s="227">
        <f t="shared" si="69"/>
        <v>2.3713750407298799</v>
      </c>
      <c r="J94" s="227">
        <f t="shared" si="70"/>
        <v>0.86896661256929697</v>
      </c>
      <c r="K94" s="227">
        <f t="shared" si="71"/>
        <v>12.519220022421006</v>
      </c>
      <c r="L94" s="227"/>
      <c r="V94" s="382"/>
      <c r="W94" s="380"/>
      <c r="Y94" s="382"/>
      <c r="Z94" s="382"/>
      <c r="AA94" s="382"/>
      <c r="AB94" s="382"/>
      <c r="AC94" s="382"/>
    </row>
    <row r="95" spans="1:37" ht="15.75">
      <c r="A95" s="229" t="s">
        <v>6699</v>
      </c>
      <c r="B95" s="225" t="s">
        <v>4134</v>
      </c>
      <c r="C95" s="224">
        <v>1340.4214530239635</v>
      </c>
      <c r="D95" s="302">
        <v>19413.584413404144</v>
      </c>
      <c r="E95" s="227" t="s">
        <v>5139</v>
      </c>
      <c r="F95" s="226">
        <v>491.15716618608906</v>
      </c>
      <c r="G95" s="299">
        <f t="shared" si="67"/>
        <v>52325.503383182368</v>
      </c>
      <c r="H95" s="227">
        <f t="shared" si="68"/>
        <v>2.7291090211154656</v>
      </c>
      <c r="I95" s="227">
        <f t="shared" si="69"/>
        <v>2.3713750407298799</v>
      </c>
      <c r="J95" s="227">
        <f t="shared" si="70"/>
        <v>0.86891913162216972</v>
      </c>
      <c r="K95" s="227">
        <f t="shared" si="71"/>
        <v>12.525508375574335</v>
      </c>
      <c r="L95" s="227"/>
      <c r="M95" t="s">
        <v>25</v>
      </c>
      <c r="O95" t="s">
        <v>25</v>
      </c>
      <c r="T95" s="547"/>
      <c r="U95" s="547"/>
      <c r="V95" s="547"/>
      <c r="W95" s="547"/>
      <c r="Y95" s="382"/>
      <c r="Z95" s="382"/>
      <c r="AA95" s="382"/>
      <c r="AB95" s="382"/>
      <c r="AC95" s="382"/>
    </row>
    <row r="96" spans="1:37" ht="15.75">
      <c r="A96" s="229" t="s">
        <v>6699</v>
      </c>
      <c r="B96" s="225" t="s">
        <v>4134</v>
      </c>
      <c r="C96" s="224">
        <v>1329.4941042221378</v>
      </c>
      <c r="D96" s="302">
        <v>19411.976286574052</v>
      </c>
      <c r="E96" s="227" t="s">
        <v>5139</v>
      </c>
      <c r="F96" s="226">
        <v>486.84610260918487</v>
      </c>
      <c r="G96" s="299">
        <f t="shared" si="67"/>
        <v>52354.169147672117</v>
      </c>
      <c r="H96" s="227">
        <f t="shared" si="68"/>
        <v>2.730830332412844</v>
      </c>
      <c r="I96" s="227">
        <f t="shared" si="69"/>
        <v>2.3713750407298799</v>
      </c>
      <c r="J96" s="227">
        <f t="shared" si="70"/>
        <v>0.86837142995794803</v>
      </c>
      <c r="K96" s="227">
        <f t="shared" si="71"/>
        <v>12.598095430249945</v>
      </c>
      <c r="L96" s="227"/>
      <c r="O96" t="s">
        <v>25</v>
      </c>
      <c r="T96" s="547"/>
      <c r="U96" s="547"/>
      <c r="V96" s="547"/>
      <c r="W96" s="547"/>
      <c r="X96" s="330"/>
      <c r="Y96" s="382"/>
      <c r="Z96" s="382"/>
      <c r="AA96" s="382"/>
      <c r="AB96" s="382"/>
      <c r="AC96" s="382"/>
      <c r="AE96" t="s">
        <v>25</v>
      </c>
    </row>
    <row r="97" spans="1:29" ht="15.75">
      <c r="A97" s="229" t="s">
        <v>6699</v>
      </c>
      <c r="B97" s="225" t="s">
        <v>4134</v>
      </c>
      <c r="C97" s="224">
        <v>1341.3320654241156</v>
      </c>
      <c r="D97" s="302">
        <v>19411.852309447906</v>
      </c>
      <c r="E97" s="227" t="s">
        <v>5139</v>
      </c>
      <c r="F97" s="226">
        <v>491.15716618608906</v>
      </c>
      <c r="G97" s="299">
        <f t="shared" si="67"/>
        <v>52356.378882610574</v>
      </c>
      <c r="H97" s="227">
        <f t="shared" si="68"/>
        <v>2.7309630353961145</v>
      </c>
      <c r="I97" s="227">
        <f t="shared" si="69"/>
        <v>2.3713750407298799</v>
      </c>
      <c r="J97" s="227">
        <f t="shared" si="70"/>
        <v>0.86832923404469375</v>
      </c>
      <c r="K97" s="227">
        <f t="shared" si="71"/>
        <v>12.603691465503397</v>
      </c>
      <c r="L97" s="227"/>
      <c r="T97" s="382" t="s">
        <v>25</v>
      </c>
      <c r="U97" s="368"/>
      <c r="V97" s="382" t="s">
        <v>25</v>
      </c>
      <c r="W97" s="380"/>
      <c r="X97" s="338"/>
      <c r="Y97" s="382"/>
      <c r="Z97" s="382"/>
      <c r="AA97" s="382"/>
      <c r="AB97" s="382"/>
      <c r="AC97" s="382"/>
    </row>
    <row r="98" spans="1:29" ht="15.75">
      <c r="A98" s="229" t="s">
        <v>6699</v>
      </c>
      <c r="B98" s="225" t="s">
        <v>4134</v>
      </c>
      <c r="C98" s="224">
        <v>1330.4047166222899</v>
      </c>
      <c r="D98" s="302">
        <v>19410.228844690289</v>
      </c>
      <c r="E98" s="227" t="s">
        <v>5139</v>
      </c>
      <c r="F98" s="226">
        <v>486.84610260918487</v>
      </c>
      <c r="G98" s="299">
        <f t="shared" si="67"/>
        <v>52385.312082670993</v>
      </c>
      <c r="H98" s="227">
        <f t="shared" si="68"/>
        <v>2.7327007641473733</v>
      </c>
      <c r="I98" s="227">
        <f t="shared" si="69"/>
        <v>2.3713750407298799</v>
      </c>
      <c r="J98" s="227">
        <f t="shared" si="70"/>
        <v>0.86777706210718974</v>
      </c>
      <c r="K98" s="227">
        <f t="shared" si="71"/>
        <v>12.676970838078883</v>
      </c>
      <c r="L98" s="227"/>
      <c r="M98" t="s">
        <v>25</v>
      </c>
      <c r="T98" s="456" t="s">
        <v>25</v>
      </c>
      <c r="U98" s="382"/>
      <c r="V98" s="382"/>
      <c r="W98" s="380"/>
      <c r="X98" s="338"/>
      <c r="Y98" s="382"/>
      <c r="Z98" s="382"/>
      <c r="AA98" s="382"/>
      <c r="AB98" s="382"/>
      <c r="AC98" s="382"/>
    </row>
    <row r="99" spans="1:29" ht="15.75">
      <c r="A99" s="229" t="s">
        <v>6699</v>
      </c>
      <c r="B99" s="225" t="s">
        <v>4134</v>
      </c>
      <c r="C99" s="224">
        <v>1331.315329022442</v>
      </c>
      <c r="D99" s="302">
        <v>19408.481402806523</v>
      </c>
      <c r="E99" s="227" t="s">
        <v>5139</v>
      </c>
      <c r="F99" s="226">
        <v>486.84610260918487</v>
      </c>
      <c r="G99" s="299">
        <f t="shared" si="67"/>
        <v>52416.448561701378</v>
      </c>
      <c r="H99" s="227">
        <f t="shared" si="68"/>
        <v>2.7345711958819026</v>
      </c>
      <c r="I99" s="227">
        <f t="shared" si="69"/>
        <v>2.3713750407298799</v>
      </c>
      <c r="J99" s="227">
        <f t="shared" si="70"/>
        <v>0.86718350734514649</v>
      </c>
      <c r="K99" s="227">
        <f t="shared" si="71"/>
        <v>12.75584624590782</v>
      </c>
      <c r="L99" s="227"/>
      <c r="M99" t="s">
        <v>25</v>
      </c>
      <c r="T99" s="456" t="s">
        <v>25</v>
      </c>
      <c r="U99" s="382" t="s">
        <v>25</v>
      </c>
      <c r="V99" s="382"/>
      <c r="W99" s="380"/>
      <c r="X99" s="338"/>
      <c r="Y99" s="382"/>
      <c r="Z99" s="382"/>
      <c r="AA99" s="382"/>
      <c r="AB99" s="382"/>
      <c r="AC99" s="382"/>
    </row>
    <row r="100" spans="1:29" ht="15.75">
      <c r="A100" s="229" t="s">
        <v>6699</v>
      </c>
      <c r="B100" s="225" t="s">
        <v>4134</v>
      </c>
      <c r="C100" s="224">
        <v>1342.2426778242677</v>
      </c>
      <c r="D100" s="302">
        <v>19410.120205491785</v>
      </c>
      <c r="E100" s="227" t="s">
        <v>5139</v>
      </c>
      <c r="F100" s="226">
        <v>491.15716618608906</v>
      </c>
      <c r="G100" s="299">
        <f t="shared" si="67"/>
        <v>52387.248038905978</v>
      </c>
      <c r="H100" s="227">
        <f t="shared" si="68"/>
        <v>2.7328170496767634</v>
      </c>
      <c r="I100" s="227">
        <f t="shared" si="69"/>
        <v>2.3713750407298799</v>
      </c>
      <c r="J100" s="227">
        <f t="shared" si="70"/>
        <v>0.86774013687098639</v>
      </c>
      <c r="K100" s="227">
        <f t="shared" si="71"/>
        <v>12.681874555432437</v>
      </c>
      <c r="L100" s="227"/>
      <c r="N100" t="s">
        <v>25</v>
      </c>
      <c r="T100" s="456" t="s">
        <v>25</v>
      </c>
      <c r="U100" s="382"/>
      <c r="V100" s="382"/>
      <c r="X100" s="338"/>
      <c r="Y100" s="382"/>
      <c r="Z100" s="382"/>
      <c r="AA100" s="382"/>
      <c r="AB100" s="382"/>
      <c r="AC100" s="382"/>
    </row>
    <row r="101" spans="1:29" ht="15.75">
      <c r="A101" s="229" t="s">
        <v>6699</v>
      </c>
      <c r="B101" s="225" t="s">
        <v>4134</v>
      </c>
      <c r="C101" s="224">
        <v>1332.2259414225941</v>
      </c>
      <c r="D101" s="302">
        <v>19406.733960922651</v>
      </c>
      <c r="E101" s="227" t="s">
        <v>5139</v>
      </c>
      <c r="F101" s="226">
        <v>486.84610260918487</v>
      </c>
      <c r="G101" s="299">
        <f t="shared" si="67"/>
        <v>52447.578584763025</v>
      </c>
      <c r="H101" s="227">
        <f t="shared" si="68"/>
        <v>2.7364416276164318</v>
      </c>
      <c r="I101" s="227">
        <f t="shared" si="69"/>
        <v>2.3713750407298799</v>
      </c>
      <c r="J101" s="227">
        <f t="shared" si="70"/>
        <v>0.86659076400451418</v>
      </c>
      <c r="K101" s="227">
        <f t="shared" si="71"/>
        <v>12.834721653736757</v>
      </c>
      <c r="L101" s="227"/>
      <c r="O101" t="s">
        <v>25</v>
      </c>
      <c r="T101" s="382" t="s">
        <v>25</v>
      </c>
      <c r="U101" s="382"/>
      <c r="Y101" s="382"/>
      <c r="Z101" s="382"/>
      <c r="AA101" s="382"/>
      <c r="AB101" s="382"/>
      <c r="AC101" s="382"/>
    </row>
    <row r="102" spans="1:29" ht="15.75">
      <c r="A102" s="229" t="s">
        <v>6699</v>
      </c>
      <c r="B102" s="225" t="s">
        <v>4134</v>
      </c>
      <c r="C102" s="224">
        <v>1343.1532902244201</v>
      </c>
      <c r="D102" s="302">
        <v>19408.388101535551</v>
      </c>
      <c r="E102" s="227" t="s">
        <v>5139</v>
      </c>
      <c r="F102" s="226">
        <v>491.15716618608906</v>
      </c>
      <c r="G102" s="299">
        <f t="shared" si="67"/>
        <v>52418.110852067955</v>
      </c>
      <c r="H102" s="227">
        <f t="shared" si="68"/>
        <v>2.7346710639574128</v>
      </c>
      <c r="I102" s="227">
        <f t="shared" si="69"/>
        <v>2.3713750407298799</v>
      </c>
      <c r="J102" s="227">
        <f t="shared" si="70"/>
        <v>0.86715183847310773</v>
      </c>
      <c r="K102" s="227">
        <f t="shared" si="71"/>
        <v>12.760057645361499</v>
      </c>
      <c r="L102" s="227"/>
      <c r="T102" s="382" t="s">
        <v>25</v>
      </c>
      <c r="U102" s="382"/>
      <c r="Y102" s="382"/>
      <c r="Z102" s="382"/>
      <c r="AA102" s="382"/>
      <c r="AB102" s="382"/>
      <c r="AC102" s="382"/>
    </row>
    <row r="103" spans="1:29" ht="15.75">
      <c r="A103" s="229" t="s">
        <v>6699</v>
      </c>
      <c r="B103" s="225" t="s">
        <v>4134</v>
      </c>
      <c r="C103" s="224">
        <v>1333.1365538227462</v>
      </c>
      <c r="D103" s="302">
        <v>19404.986519038888</v>
      </c>
      <c r="E103" s="227" t="s">
        <v>5139</v>
      </c>
      <c r="F103" s="226">
        <v>486.84610260918487</v>
      </c>
      <c r="G103" s="299">
        <f t="shared" si="67"/>
        <v>52478.702151856487</v>
      </c>
      <c r="H103" s="227">
        <f t="shared" si="68"/>
        <v>2.7383120593509611</v>
      </c>
      <c r="I103" s="227">
        <f t="shared" si="69"/>
        <v>2.3713750407298799</v>
      </c>
      <c r="J103" s="227">
        <f t="shared" si="70"/>
        <v>0.86599883042254389</v>
      </c>
      <c r="K103" s="227">
        <f t="shared" si="71"/>
        <v>12.913597061565696</v>
      </c>
      <c r="L103" s="227"/>
      <c r="T103" s="382"/>
      <c r="Y103" s="382"/>
      <c r="Z103" s="382"/>
      <c r="AA103" s="382"/>
      <c r="AB103" s="382"/>
      <c r="AC103" s="382"/>
    </row>
    <row r="104" spans="1:29" ht="15.75">
      <c r="A104" s="229" t="s">
        <v>6699</v>
      </c>
      <c r="B104" s="225" t="s">
        <v>4134</v>
      </c>
      <c r="C104" s="224">
        <v>1334.0471662228986</v>
      </c>
      <c r="D104" s="302">
        <v>15590.134724310776</v>
      </c>
      <c r="E104" s="227" t="s">
        <v>5139</v>
      </c>
      <c r="F104" s="226">
        <v>486.84610260918487</v>
      </c>
      <c r="G104" s="299">
        <f t="shared" si="67"/>
        <v>42190.644222022223</v>
      </c>
      <c r="H104" s="227">
        <f t="shared" si="68"/>
        <v>2.7401824910854908</v>
      </c>
      <c r="I104" s="227">
        <f t="shared" si="69"/>
        <v>2.3713750407298799</v>
      </c>
      <c r="J104" s="227">
        <f>I104/H104</f>
        <v>0.8654077049410267</v>
      </c>
      <c r="K104" s="227">
        <f>(1/J104-1.0256)*100</f>
        <v>12.992472469394656</v>
      </c>
      <c r="L104" s="227"/>
      <c r="N104" t="s">
        <v>25</v>
      </c>
      <c r="T104" t="s">
        <v>25</v>
      </c>
      <c r="W104" s="380"/>
      <c r="X104" s="330"/>
      <c r="Y104" s="382"/>
      <c r="Z104" s="382"/>
      <c r="AA104" s="382"/>
      <c r="AB104" s="382"/>
      <c r="AC104" s="382"/>
    </row>
    <row r="105" spans="1:29" ht="15.75">
      <c r="A105" s="229" t="s">
        <v>6710</v>
      </c>
      <c r="B105" s="225" t="s">
        <v>4134</v>
      </c>
      <c r="C105" s="224">
        <v>1331.315329022442</v>
      </c>
      <c r="D105" s="302">
        <v>31119.520462564746</v>
      </c>
      <c r="E105" s="227" t="s">
        <v>5139</v>
      </c>
      <c r="F105" s="226">
        <v>480</v>
      </c>
      <c r="G105" s="299">
        <f t="shared" si="67"/>
        <v>85243.130965768403</v>
      </c>
      <c r="H105" s="227">
        <f t="shared" si="68"/>
        <v>2.7735736021300874</v>
      </c>
      <c r="I105" s="227">
        <f t="shared" si="69"/>
        <v>2.3713750407298799</v>
      </c>
      <c r="J105" s="227">
        <f>I105/H105</f>
        <v>0.85498904334418191</v>
      </c>
      <c r="K105" s="227">
        <f>(1/J105-1.0256)*100</f>
        <v>14.400563153958789</v>
      </c>
      <c r="L105" s="227"/>
      <c r="N105" t="s">
        <v>25</v>
      </c>
      <c r="V105" s="380"/>
      <c r="W105" s="380"/>
      <c r="X105" s="330"/>
      <c r="Y105" s="382"/>
      <c r="Z105" s="382"/>
      <c r="AA105" s="382"/>
      <c r="AB105" s="382"/>
      <c r="AC105" s="382"/>
    </row>
    <row r="106" spans="1:29" ht="15.75">
      <c r="A106" s="229" t="s">
        <v>6718</v>
      </c>
      <c r="B106" s="225" t="s">
        <v>4134</v>
      </c>
      <c r="C106" s="224">
        <v>1282.1422594142259</v>
      </c>
      <c r="D106" s="302">
        <v>10981.620718462824</v>
      </c>
      <c r="E106" s="227" t="s">
        <v>5139</v>
      </c>
      <c r="F106" s="226">
        <v>460.7</v>
      </c>
      <c r="G106" s="299">
        <f t="shared" si="67"/>
        <v>30183.614406606379</v>
      </c>
      <c r="H106" s="227">
        <f t="shared" si="68"/>
        <v>2.7830307345652829</v>
      </c>
      <c r="I106" s="227">
        <f t="shared" si="69"/>
        <v>2.3713750407298799</v>
      </c>
      <c r="J106" s="227">
        <f>I106/H106</f>
        <v>0.85208366953241543</v>
      </c>
      <c r="K106" s="227">
        <f>(1/J106-1.0256)*100</f>
        <v>14.799366897473142</v>
      </c>
      <c r="L106" s="227"/>
      <c r="T106" t="s">
        <v>25</v>
      </c>
      <c r="U106" s="35"/>
      <c r="V106" s="380"/>
      <c r="Y106" s="382"/>
      <c r="Z106" s="382"/>
      <c r="AA106" s="382"/>
      <c r="AB106" s="382"/>
      <c r="AC106" s="382"/>
    </row>
    <row r="107" spans="1:29" ht="15.75">
      <c r="A107" s="229" t="s">
        <v>6718</v>
      </c>
      <c r="B107" s="225" t="s">
        <v>4134</v>
      </c>
      <c r="C107" s="224">
        <v>1290.3377710155953</v>
      </c>
      <c r="D107" s="302">
        <v>10981.620718462824</v>
      </c>
      <c r="E107" s="227" t="s">
        <v>5139</v>
      </c>
      <c r="F107" s="226">
        <v>460.7</v>
      </c>
      <c r="G107" s="299">
        <f t="shared" si="67"/>
        <v>30376.549441875883</v>
      </c>
      <c r="H107" s="227">
        <f t="shared" si="68"/>
        <v>2.8008199935220217</v>
      </c>
      <c r="I107" s="227">
        <f t="shared" si="69"/>
        <v>2.3713750407298799</v>
      </c>
      <c r="J107" s="227">
        <f t="shared" ref="J107:J113" si="72">I107/H107</f>
        <v>0.846671705505745</v>
      </c>
      <c r="K107" s="227">
        <f t="shared" ref="K107:K113" si="73">(1/J107-1.0256)*100</f>
        <v>15.549533305198482</v>
      </c>
      <c r="L107" s="227"/>
      <c r="M107" t="s">
        <v>25</v>
      </c>
      <c r="O107" t="s">
        <v>25</v>
      </c>
      <c r="T107" s="25" t="s">
        <v>25</v>
      </c>
      <c r="U107" s="380"/>
      <c r="W107" s="336"/>
      <c r="Y107" s="382"/>
      <c r="Z107" s="382"/>
      <c r="AA107" s="382"/>
      <c r="AB107" s="382"/>
      <c r="AC107" s="382"/>
    </row>
    <row r="108" spans="1:29" ht="15.75">
      <c r="A108" s="229" t="s">
        <v>6719</v>
      </c>
      <c r="B108" s="225" t="s">
        <v>4134</v>
      </c>
      <c r="C108" s="224">
        <v>1298.5332826169647</v>
      </c>
      <c r="D108" s="302">
        <v>29113.37468671679</v>
      </c>
      <c r="E108" s="227" t="s">
        <v>5139</v>
      </c>
      <c r="F108" s="226">
        <v>460.6</v>
      </c>
      <c r="G108" s="299">
        <f t="shared" si="67"/>
        <v>81060.355338675217</v>
      </c>
      <c r="H108" s="227">
        <f t="shared" si="68"/>
        <v>2.8192211954341393</v>
      </c>
      <c r="I108" s="227">
        <f t="shared" si="69"/>
        <v>2.3713750407298799</v>
      </c>
      <c r="J108" s="227">
        <f t="shared" si="72"/>
        <v>0.84114543568643452</v>
      </c>
      <c r="K108" s="227">
        <f t="shared" si="73"/>
        <v>16.325505118853645</v>
      </c>
      <c r="L108" s="227"/>
      <c r="T108" s="25"/>
      <c r="U108" s="380"/>
      <c r="V108" s="368"/>
      <c r="W108" s="336"/>
      <c r="Y108" s="382"/>
      <c r="Z108" s="382"/>
      <c r="AA108" s="382"/>
      <c r="AB108" s="382"/>
      <c r="AC108" s="382"/>
    </row>
    <row r="109" spans="1:29" ht="15.75">
      <c r="A109" s="229" t="s">
        <v>6719</v>
      </c>
      <c r="B109" s="225" t="s">
        <v>4134</v>
      </c>
      <c r="C109" s="224">
        <v>1303.9969570178775</v>
      </c>
      <c r="D109" s="302">
        <v>5337.0676691729323</v>
      </c>
      <c r="E109" s="227" t="s">
        <v>5139</v>
      </c>
      <c r="F109" s="226">
        <v>460.1</v>
      </c>
      <c r="G109" s="299">
        <f t="shared" si="67"/>
        <v>14938.736108785723</v>
      </c>
      <c r="H109" s="227">
        <f t="shared" si="68"/>
        <v>2.8341598718058627</v>
      </c>
      <c r="I109" s="227">
        <f t="shared" si="69"/>
        <v>2.3713750407298799</v>
      </c>
      <c r="J109" s="227">
        <f t="shared" si="72"/>
        <v>0.83671181160958763</v>
      </c>
      <c r="K109" s="227">
        <f t="shared" si="73"/>
        <v>16.955463523371783</v>
      </c>
      <c r="L109" s="227"/>
      <c r="T109" s="368" t="s">
        <v>25</v>
      </c>
      <c r="V109" s="368"/>
      <c r="W109" s="336"/>
      <c r="Y109" s="382"/>
      <c r="Z109" s="382"/>
      <c r="AA109" s="382"/>
      <c r="AB109" s="382"/>
      <c r="AC109" s="382"/>
    </row>
    <row r="110" spans="1:29" ht="15.75">
      <c r="A110" s="229" t="s">
        <v>6721</v>
      </c>
      <c r="B110" s="225" t="s">
        <v>4134</v>
      </c>
      <c r="C110" s="224">
        <v>1273.0361354127044</v>
      </c>
      <c r="D110" s="302">
        <v>10981.620718462824</v>
      </c>
      <c r="E110" s="227" t="s">
        <v>5139</v>
      </c>
      <c r="F110" s="226">
        <v>444</v>
      </c>
      <c r="G110" s="299">
        <f t="shared" si="67"/>
        <v>31096.463640296653</v>
      </c>
      <c r="H110" s="227">
        <f t="shared" si="68"/>
        <v>2.8671985031817666</v>
      </c>
      <c r="I110" s="227">
        <f t="shared" si="69"/>
        <v>2.3713750407298799</v>
      </c>
      <c r="J110" s="227">
        <f>I110/H110</f>
        <v>0.82707040970422341</v>
      </c>
      <c r="K110" s="227">
        <f>(1/J110-1.0256)*100</f>
        <v>18.348690271922496</v>
      </c>
      <c r="L110" s="227"/>
      <c r="T110" s="368" t="s">
        <v>25</v>
      </c>
      <c r="U110" s="368" t="s">
        <v>25</v>
      </c>
      <c r="V110" s="368"/>
      <c r="X110" s="196"/>
      <c r="Y110" s="382"/>
      <c r="Z110" s="382"/>
      <c r="AA110" s="382"/>
      <c r="AB110" s="382"/>
      <c r="AC110" s="382"/>
    </row>
    <row r="111" spans="1:29" ht="15.75">
      <c r="A111" s="229" t="s">
        <v>6721</v>
      </c>
      <c r="B111" s="225" t="s">
        <v>4134</v>
      </c>
      <c r="C111" s="224">
        <v>1273.0361354127044</v>
      </c>
      <c r="D111" s="302">
        <v>13177.944862155387</v>
      </c>
      <c r="E111" s="227" t="s">
        <v>5139</v>
      </c>
      <c r="F111" s="226">
        <v>442.97</v>
      </c>
      <c r="G111" s="299">
        <f t="shared" si="67"/>
        <v>37402.523483644611</v>
      </c>
      <c r="H111" s="227">
        <f t="shared" si="68"/>
        <v>2.8738653529871194</v>
      </c>
      <c r="I111" s="227">
        <f t="shared" si="69"/>
        <v>2.3713750407298799</v>
      </c>
      <c r="J111" s="227">
        <f>I111/H111</f>
        <v>0.82515175537540519</v>
      </c>
      <c r="K111" s="227">
        <f>(1/J111-1.0256)*100</f>
        <v>18.629828838823357</v>
      </c>
      <c r="L111" s="227"/>
      <c r="N111" t="s">
        <v>25</v>
      </c>
      <c r="T111" s="368" t="s">
        <v>25</v>
      </c>
      <c r="U111" s="368"/>
      <c r="V111" s="368"/>
      <c r="Y111" s="382"/>
      <c r="Z111" s="382"/>
      <c r="AA111" s="382"/>
      <c r="AB111" s="382"/>
      <c r="AC111" s="382"/>
    </row>
    <row r="112" spans="1:29" ht="15.75">
      <c r="A112" s="229"/>
      <c r="B112" s="225"/>
      <c r="C112" s="224"/>
      <c r="D112" s="302"/>
      <c r="E112" s="227"/>
      <c r="F112" s="226"/>
      <c r="G112" s="299"/>
      <c r="H112" s="227"/>
      <c r="I112" s="227"/>
      <c r="J112" s="227"/>
      <c r="K112" s="227"/>
      <c r="L112" s="227"/>
      <c r="T112" s="368" t="s">
        <v>25</v>
      </c>
      <c r="U112" s="368"/>
      <c r="V112" s="368"/>
      <c r="Y112" s="382"/>
      <c r="Z112" s="382"/>
      <c r="AA112" s="382"/>
      <c r="AB112" s="382"/>
      <c r="AC112" s="382"/>
    </row>
    <row r="113" spans="1:35" ht="15.75">
      <c r="A113" s="229"/>
      <c r="B113" s="225"/>
      <c r="C113" s="224"/>
      <c r="D113" s="302"/>
      <c r="E113" s="227"/>
      <c r="F113" s="226"/>
      <c r="G113" s="299"/>
      <c r="H113" s="227"/>
      <c r="I113" s="227">
        <f>$O$22/$O$23</f>
        <v>2.3713750407298799</v>
      </c>
      <c r="J113" s="227" t="e">
        <f t="shared" si="72"/>
        <v>#DIV/0!</v>
      </c>
      <c r="K113" s="227" t="e">
        <f t="shared" si="73"/>
        <v>#DIV/0!</v>
      </c>
      <c r="L113" s="227"/>
      <c r="T113" s="368"/>
      <c r="U113" s="368"/>
      <c r="V113" s="368"/>
      <c r="Y113" s="382"/>
      <c r="Z113" s="382"/>
      <c r="AA113" s="382"/>
      <c r="AB113" s="382"/>
      <c r="AC113" s="382"/>
    </row>
    <row r="114" spans="1:35">
      <c r="T114" s="368"/>
      <c r="U114" s="368"/>
      <c r="V114" s="368"/>
      <c r="Y114" s="382"/>
      <c r="Z114" s="382"/>
      <c r="AA114" s="382"/>
      <c r="AB114" s="382"/>
      <c r="AC114" s="382"/>
    </row>
    <row r="115" spans="1:35" ht="27" customHeight="1">
      <c r="O115" t="s">
        <v>25</v>
      </c>
      <c r="T115" s="368"/>
      <c r="U115" s="368"/>
      <c r="V115" s="368"/>
      <c r="Y115" s="382"/>
      <c r="Z115" s="382"/>
      <c r="AA115" s="382"/>
      <c r="AB115" s="382"/>
      <c r="AC115" s="382"/>
    </row>
    <row r="116" spans="1:35">
      <c r="O116" t="s">
        <v>25</v>
      </c>
      <c r="T116" s="368" t="s">
        <v>25</v>
      </c>
      <c r="U116" s="368"/>
      <c r="V116" s="368"/>
      <c r="Y116" s="382"/>
      <c r="Z116" s="382"/>
      <c r="AA116" s="382"/>
      <c r="AB116" s="382"/>
      <c r="AC116" s="382"/>
      <c r="AG116" s="382"/>
      <c r="AH116" s="382"/>
      <c r="AI116" s="382"/>
    </row>
    <row r="117" spans="1:35">
      <c r="T117" s="368"/>
      <c r="U117" s="368"/>
      <c r="Y117" s="382"/>
      <c r="Z117" s="382"/>
      <c r="AA117" s="382"/>
      <c r="AB117" s="382"/>
      <c r="AC117" s="382"/>
      <c r="AG117" s="382"/>
      <c r="AH117" s="382"/>
      <c r="AI117" s="382"/>
    </row>
    <row r="118" spans="1:35">
      <c r="N118" t="s">
        <v>25</v>
      </c>
      <c r="O118" t="s">
        <v>25</v>
      </c>
      <c r="T118" s="368"/>
      <c r="U118" s="368"/>
      <c r="Y118" s="382"/>
      <c r="Z118" s="382"/>
      <c r="AA118" s="382"/>
      <c r="AB118" s="382"/>
      <c r="AC118" s="382"/>
      <c r="AG118" s="382"/>
      <c r="AH118" s="382"/>
      <c r="AI118" s="382"/>
    </row>
    <row r="119" spans="1:35">
      <c r="T119" s="368"/>
      <c r="Y119" s="382"/>
      <c r="Z119" s="382"/>
      <c r="AA119" s="382"/>
      <c r="AB119" s="382"/>
      <c r="AC119" s="382"/>
      <c r="AG119" s="382"/>
      <c r="AH119" s="382"/>
      <c r="AI119" s="382"/>
    </row>
    <row r="120" spans="1:35">
      <c r="T120" t="s">
        <v>25</v>
      </c>
      <c r="Y120" s="382"/>
      <c r="Z120" s="382"/>
      <c r="AA120" s="382"/>
      <c r="AB120" s="382"/>
      <c r="AC120" s="382"/>
      <c r="AG120" s="382"/>
      <c r="AH120" s="382"/>
      <c r="AI120" s="382"/>
    </row>
    <row r="121" spans="1:35">
      <c r="K121" t="s">
        <v>25</v>
      </c>
      <c r="N121" t="s">
        <v>25</v>
      </c>
      <c r="T121" s="368" t="s">
        <v>25</v>
      </c>
      <c r="Z121" s="382"/>
      <c r="AA121" s="382"/>
      <c r="AB121" s="382"/>
      <c r="AC121" s="382"/>
      <c r="AG121" s="382"/>
      <c r="AH121" s="382"/>
      <c r="AI121" s="382"/>
    </row>
    <row r="122" spans="1:35">
      <c r="J122" t="s">
        <v>25</v>
      </c>
      <c r="T122" s="368" t="s">
        <v>25</v>
      </c>
      <c r="U122" s="196"/>
    </row>
    <row r="123" spans="1:35">
      <c r="N123" t="s">
        <v>25</v>
      </c>
      <c r="T123" s="368"/>
      <c r="U123" t="s">
        <v>25</v>
      </c>
      <c r="AI123" s="368"/>
    </row>
    <row r="124" spans="1:35">
      <c r="T124" s="368"/>
      <c r="U124" t="s">
        <v>25</v>
      </c>
      <c r="Y124" t="s">
        <v>25</v>
      </c>
      <c r="AH124" t="s">
        <v>25</v>
      </c>
    </row>
    <row r="125" spans="1:35">
      <c r="N125" t="s">
        <v>25</v>
      </c>
      <c r="T125" s="368"/>
      <c r="U125" t="s">
        <v>25</v>
      </c>
      <c r="V125" t="s">
        <v>25</v>
      </c>
      <c r="X125" s="202" t="s">
        <v>5472</v>
      </c>
    </row>
    <row r="126" spans="1:35">
      <c r="N126" t="s">
        <v>25</v>
      </c>
      <c r="P126" t="s">
        <v>25</v>
      </c>
      <c r="T126" s="368"/>
    </row>
    <row r="127" spans="1:35">
      <c r="N127" t="s">
        <v>25</v>
      </c>
      <c r="T127" s="368" t="s">
        <v>25</v>
      </c>
    </row>
    <row r="128" spans="1:35">
      <c r="T128" s="36" t="s">
        <v>25</v>
      </c>
      <c r="U128" t="s">
        <v>25</v>
      </c>
    </row>
    <row r="129" spans="1:23">
      <c r="T129" s="36" t="s">
        <v>25</v>
      </c>
      <c r="U129" t="s">
        <v>25</v>
      </c>
    </row>
    <row r="130" spans="1:23">
      <c r="T130" s="368" t="s">
        <v>25</v>
      </c>
    </row>
    <row r="132" spans="1:23">
      <c r="D132">
        <v>28000</v>
      </c>
    </row>
    <row r="133" spans="1:23">
      <c r="T133" t="s">
        <v>25</v>
      </c>
    </row>
    <row r="134" spans="1:23">
      <c r="A134" t="s">
        <v>6570</v>
      </c>
      <c r="B134">
        <v>10330</v>
      </c>
      <c r="C134">
        <v>11900</v>
      </c>
      <c r="D134" s="7">
        <f t="shared" ref="D134:D156" si="74">B134*$D$132</f>
        <v>289240000</v>
      </c>
      <c r="E134" s="7">
        <f t="shared" ref="E134:E156" si="75">C134*$D$132</f>
        <v>333200000</v>
      </c>
      <c r="F134" s="7">
        <v>440000000</v>
      </c>
      <c r="G134">
        <f>(F134-E134)*100/E134</f>
        <v>32.052821128451377</v>
      </c>
      <c r="O134" t="s">
        <v>25</v>
      </c>
      <c r="U134" s="368"/>
      <c r="W134" t="s">
        <v>25</v>
      </c>
    </row>
    <row r="135" spans="1:23">
      <c r="A135" t="s">
        <v>6571</v>
      </c>
      <c r="C135">
        <v>18000</v>
      </c>
      <c r="D135" s="7">
        <f t="shared" si="74"/>
        <v>0</v>
      </c>
      <c r="E135" s="7">
        <f t="shared" si="75"/>
        <v>504000000</v>
      </c>
      <c r="F135" s="7">
        <v>700000000</v>
      </c>
      <c r="G135">
        <f t="shared" ref="G135:G152" si="76">(F135-E135)*100/E135</f>
        <v>38.888888888888886</v>
      </c>
      <c r="T135" s="517"/>
      <c r="U135" s="368" t="s">
        <v>25</v>
      </c>
    </row>
    <row r="136" spans="1:23">
      <c r="A136" t="s">
        <v>6572</v>
      </c>
      <c r="C136">
        <v>19000</v>
      </c>
      <c r="D136" s="7">
        <f t="shared" si="74"/>
        <v>0</v>
      </c>
      <c r="E136" s="7">
        <f t="shared" si="75"/>
        <v>532000000</v>
      </c>
      <c r="F136" s="7">
        <v>650000000</v>
      </c>
      <c r="G136">
        <f t="shared" si="76"/>
        <v>22.180451127819548</v>
      </c>
      <c r="T136" s="517"/>
      <c r="U136" s="368"/>
    </row>
    <row r="137" spans="1:23">
      <c r="A137" t="s">
        <v>6573</v>
      </c>
      <c r="C137">
        <v>23000</v>
      </c>
      <c r="D137" s="7">
        <f t="shared" si="74"/>
        <v>0</v>
      </c>
      <c r="E137" s="7">
        <f t="shared" si="75"/>
        <v>644000000</v>
      </c>
      <c r="F137" s="7">
        <v>930000000</v>
      </c>
      <c r="G137">
        <f t="shared" si="76"/>
        <v>44.409937888198755</v>
      </c>
      <c r="T137" s="517"/>
      <c r="U137" s="368"/>
    </row>
    <row r="138" spans="1:23">
      <c r="A138" t="s">
        <v>6574</v>
      </c>
      <c r="C138">
        <v>13000</v>
      </c>
      <c r="D138" s="7">
        <f t="shared" si="74"/>
        <v>0</v>
      </c>
      <c r="E138" s="7">
        <f t="shared" si="75"/>
        <v>364000000</v>
      </c>
      <c r="F138" s="7">
        <v>600000000</v>
      </c>
      <c r="G138">
        <f t="shared" si="76"/>
        <v>64.835164835164832</v>
      </c>
    </row>
    <row r="139" spans="1:23">
      <c r="A139" t="s">
        <v>6575</v>
      </c>
      <c r="C139">
        <v>13000</v>
      </c>
      <c r="D139" s="7">
        <f t="shared" si="74"/>
        <v>0</v>
      </c>
      <c r="E139" s="7">
        <f t="shared" si="75"/>
        <v>364000000</v>
      </c>
      <c r="F139" s="7">
        <v>400000000</v>
      </c>
      <c r="G139">
        <f t="shared" si="76"/>
        <v>9.8901098901098905</v>
      </c>
    </row>
    <row r="140" spans="1:23">
      <c r="A140" t="s">
        <v>6576</v>
      </c>
      <c r="C140">
        <v>13600</v>
      </c>
      <c r="D140" s="7">
        <f t="shared" si="74"/>
        <v>0</v>
      </c>
      <c r="E140" s="7">
        <f t="shared" si="75"/>
        <v>380800000</v>
      </c>
      <c r="F140" s="7">
        <v>520000000</v>
      </c>
      <c r="G140">
        <f t="shared" si="76"/>
        <v>36.554621848739494</v>
      </c>
      <c r="T140" s="368"/>
    </row>
    <row r="141" spans="1:23">
      <c r="A141" t="s">
        <v>6577</v>
      </c>
      <c r="C141">
        <v>28000</v>
      </c>
      <c r="D141" s="7">
        <f t="shared" si="74"/>
        <v>0</v>
      </c>
      <c r="E141" s="7">
        <f t="shared" si="75"/>
        <v>784000000</v>
      </c>
      <c r="F141" s="7">
        <v>900000000</v>
      </c>
      <c r="G141">
        <f t="shared" si="76"/>
        <v>14.795918367346939</v>
      </c>
    </row>
    <row r="142" spans="1:23">
      <c r="A142" t="s">
        <v>6578</v>
      </c>
      <c r="C142">
        <v>19000</v>
      </c>
      <c r="D142" s="7">
        <f t="shared" si="74"/>
        <v>0</v>
      </c>
      <c r="E142" s="7">
        <f t="shared" si="75"/>
        <v>532000000</v>
      </c>
      <c r="F142" s="7">
        <v>700000000</v>
      </c>
      <c r="G142">
        <f t="shared" si="76"/>
        <v>31.578947368421051</v>
      </c>
    </row>
    <row r="143" spans="1:23">
      <c r="A143" t="s">
        <v>6579</v>
      </c>
      <c r="C143">
        <v>15000</v>
      </c>
      <c r="D143" s="7">
        <f t="shared" si="74"/>
        <v>0</v>
      </c>
      <c r="E143" s="7">
        <f t="shared" si="75"/>
        <v>420000000</v>
      </c>
      <c r="F143" s="7">
        <v>700000000</v>
      </c>
      <c r="G143">
        <f t="shared" si="76"/>
        <v>66.666666666666671</v>
      </c>
      <c r="N143" t="s">
        <v>25</v>
      </c>
    </row>
    <row r="144" spans="1:23">
      <c r="A144" t="s">
        <v>6580</v>
      </c>
      <c r="C144">
        <v>21000</v>
      </c>
      <c r="D144" s="7">
        <f t="shared" si="74"/>
        <v>0</v>
      </c>
      <c r="E144" s="7">
        <f t="shared" si="75"/>
        <v>588000000</v>
      </c>
      <c r="F144" s="7">
        <v>700000000</v>
      </c>
      <c r="G144">
        <f t="shared" si="76"/>
        <v>19.047619047619047</v>
      </c>
    </row>
    <row r="145" spans="1:20">
      <c r="A145" t="s">
        <v>6581</v>
      </c>
      <c r="C145">
        <v>17000</v>
      </c>
      <c r="D145" s="7">
        <f t="shared" si="74"/>
        <v>0</v>
      </c>
      <c r="E145" s="7">
        <f t="shared" si="75"/>
        <v>476000000</v>
      </c>
      <c r="F145" s="7">
        <v>700000000</v>
      </c>
      <c r="G145">
        <f t="shared" si="76"/>
        <v>47.058823529411768</v>
      </c>
      <c r="O145" t="s">
        <v>25</v>
      </c>
    </row>
    <row r="146" spans="1:20">
      <c r="A146" t="s">
        <v>6582</v>
      </c>
      <c r="C146">
        <v>11000</v>
      </c>
      <c r="D146" s="7">
        <f t="shared" si="74"/>
        <v>0</v>
      </c>
      <c r="E146" s="7">
        <f t="shared" si="75"/>
        <v>308000000</v>
      </c>
      <c r="F146" s="7">
        <v>370000000</v>
      </c>
      <c r="G146">
        <f t="shared" si="76"/>
        <v>20.129870129870131</v>
      </c>
    </row>
    <row r="147" spans="1:20">
      <c r="D147" s="7">
        <f t="shared" si="74"/>
        <v>0</v>
      </c>
      <c r="E147" s="7">
        <f t="shared" si="75"/>
        <v>0</v>
      </c>
      <c r="F147" s="7"/>
      <c r="G147" t="e">
        <f t="shared" si="76"/>
        <v>#DIV/0!</v>
      </c>
    </row>
    <row r="148" spans="1:20">
      <c r="D148" s="7">
        <f t="shared" si="74"/>
        <v>0</v>
      </c>
      <c r="E148" s="7">
        <f t="shared" si="75"/>
        <v>0</v>
      </c>
      <c r="F148" s="7"/>
      <c r="G148" t="e">
        <f t="shared" si="76"/>
        <v>#DIV/0!</v>
      </c>
    </row>
    <row r="149" spans="1:20">
      <c r="D149" s="7">
        <f t="shared" si="74"/>
        <v>0</v>
      </c>
      <c r="E149" s="7">
        <f t="shared" si="75"/>
        <v>0</v>
      </c>
      <c r="F149" s="7"/>
      <c r="G149" t="e">
        <f t="shared" si="76"/>
        <v>#DIV/0!</v>
      </c>
    </row>
    <row r="150" spans="1:20">
      <c r="D150" s="7">
        <f t="shared" si="74"/>
        <v>0</v>
      </c>
      <c r="E150" s="7">
        <f t="shared" si="75"/>
        <v>0</v>
      </c>
      <c r="F150" s="7"/>
      <c r="G150" t="e">
        <f t="shared" si="76"/>
        <v>#DIV/0!</v>
      </c>
    </row>
    <row r="151" spans="1:20">
      <c r="D151" s="7">
        <f t="shared" si="74"/>
        <v>0</v>
      </c>
      <c r="E151" s="7">
        <f t="shared" si="75"/>
        <v>0</v>
      </c>
      <c r="F151" s="7"/>
      <c r="G151" t="e">
        <f t="shared" si="76"/>
        <v>#DIV/0!</v>
      </c>
    </row>
    <row r="152" spans="1:20">
      <c r="D152" s="7">
        <f t="shared" si="74"/>
        <v>0</v>
      </c>
      <c r="E152" s="7">
        <f t="shared" si="75"/>
        <v>0</v>
      </c>
      <c r="F152" s="7"/>
      <c r="G152" t="e">
        <f t="shared" si="76"/>
        <v>#DIV/0!</v>
      </c>
    </row>
    <row r="153" spans="1:20">
      <c r="D153" s="7">
        <f t="shared" si="74"/>
        <v>0</v>
      </c>
      <c r="E153" s="7">
        <f t="shared" si="75"/>
        <v>0</v>
      </c>
    </row>
    <row r="154" spans="1:20">
      <c r="D154" s="7">
        <f t="shared" si="74"/>
        <v>0</v>
      </c>
      <c r="E154" s="7">
        <f t="shared" si="75"/>
        <v>0</v>
      </c>
      <c r="O154" t="s">
        <v>25</v>
      </c>
    </row>
    <row r="155" spans="1:20">
      <c r="D155" s="7">
        <f t="shared" si="74"/>
        <v>0</v>
      </c>
      <c r="E155" s="7">
        <f t="shared" si="75"/>
        <v>0</v>
      </c>
    </row>
    <row r="156" spans="1:20">
      <c r="D156" s="7">
        <f t="shared" si="74"/>
        <v>0</v>
      </c>
      <c r="E156" s="7">
        <f t="shared" si="75"/>
        <v>0</v>
      </c>
    </row>
    <row r="159" spans="1:20">
      <c r="T159" t="s">
        <v>25</v>
      </c>
    </row>
    <row r="161" spans="15:23">
      <c r="O161" t="s">
        <v>25</v>
      </c>
    </row>
    <row r="165" spans="15:23">
      <c r="T165" s="514">
        <v>427061</v>
      </c>
      <c r="U165" s="514">
        <v>2617511</v>
      </c>
      <c r="V165">
        <v>2437975</v>
      </c>
      <c r="W165">
        <v>179537</v>
      </c>
    </row>
    <row r="166" spans="15:23">
      <c r="T166" s="514">
        <f>U166*T165/U165</f>
        <v>258283.61265072046</v>
      </c>
      <c r="U166" s="514">
        <v>1583053</v>
      </c>
      <c r="V166">
        <f>U166*V165/U165</f>
        <v>1474470.83801176</v>
      </c>
      <c r="W166">
        <f>U166*W165/U165</f>
        <v>108582.76678149585</v>
      </c>
    </row>
    <row r="167" spans="15:23">
      <c r="T167" s="514">
        <f>T165-T166</f>
        <v>168777.38734927954</v>
      </c>
      <c r="U167" s="514">
        <f>U165-U166</f>
        <v>1034458</v>
      </c>
      <c r="V167">
        <f>V165-V166</f>
        <v>963504.16198823997</v>
      </c>
      <c r="W167">
        <f>W165-W166</f>
        <v>70954.233218504145</v>
      </c>
    </row>
    <row r="184" spans="14:20">
      <c r="N184" t="s">
        <v>25</v>
      </c>
    </row>
    <row r="186" spans="14:20">
      <c r="N186" t="s">
        <v>25</v>
      </c>
    </row>
    <row r="188" spans="14:20">
      <c r="T188" t="s">
        <v>25</v>
      </c>
    </row>
  </sheetData>
  <phoneticPr fontId="25" type="noConversion"/>
  <conditionalFormatting sqref="K59:K113 K54:K57 K38 K48:K51 P39:Q46 K1:K3 K7:K36">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58">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53">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52">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39:Q46">
    <cfRule type="cellIs" dxfId="10" priority="121" operator="lessThan">
      <formula>1</formula>
    </cfRule>
    <cfRule type="cellIs" dxfId="9" priority="122" operator="greaterThan">
      <formula>1</formula>
    </cfRule>
  </conditionalFormatting>
  <conditionalFormatting sqref="Q39:Q46">
    <cfRule type="cellIs" dxfId="8" priority="82" operator="lessThan">
      <formula>0</formula>
    </cfRule>
    <cfRule type="cellIs" dxfId="7" priority="83" operator="greaterThan">
      <formula>0</formula>
    </cfRule>
  </conditionalFormatting>
  <conditionalFormatting sqref="K3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584" t="s">
        <v>6071</v>
      </c>
      <c r="C1" s="584"/>
      <c r="D1" s="584" t="s">
        <v>6072</v>
      </c>
      <c r="E1" s="584"/>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topLeftCell="A7" workbookViewId="0">
      <selection activeCell="D21" sqref="D21"/>
    </sheetView>
  </sheetViews>
  <sheetFormatPr defaultRowHeight="15"/>
  <cols>
    <col min="1" max="1" width="11.8554687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401" bestFit="1" customWidth="1"/>
    <col min="11" max="11" width="8.42578125" bestFit="1" customWidth="1"/>
    <col min="12" max="12" width="13.7109375" style="401" bestFit="1" customWidth="1"/>
    <col min="13" max="13" width="10.5703125" bestFit="1" customWidth="1"/>
    <col min="14" max="14" width="7.7109375" style="401" bestFit="1" customWidth="1"/>
    <col min="15" max="15" width="10.5703125" bestFit="1" customWidth="1"/>
    <col min="16" max="16" width="7.7109375" style="401" bestFit="1" customWidth="1"/>
    <col min="17" max="17" width="9.7109375" bestFit="1" customWidth="1"/>
    <col min="18" max="18" width="18.140625" style="401" bestFit="1" customWidth="1"/>
    <col min="19" max="19" width="9.7109375" bestFit="1" customWidth="1"/>
    <col min="20" max="20" width="21" style="401" bestFit="1" customWidth="1"/>
    <col min="21" max="21" width="7.7109375" bestFit="1" customWidth="1"/>
    <col min="22" max="22" width="14.140625" style="401" bestFit="1" customWidth="1"/>
    <col min="23" max="23" width="7.7109375" bestFit="1" customWidth="1"/>
    <col min="24" max="24" width="7.5703125" style="401" bestFit="1" customWidth="1"/>
    <col min="25" max="25" width="7.7109375" bestFit="1" customWidth="1"/>
    <col min="26" max="26" width="7.5703125" style="401" bestFit="1" customWidth="1"/>
    <col min="27" max="27" width="7.7109375" bestFit="1" customWidth="1"/>
    <col min="28" max="28" width="10.42578125" style="401" bestFit="1" customWidth="1"/>
    <col min="29" max="29" width="10.42578125" bestFit="1" customWidth="1"/>
    <col min="30" max="30" width="10.42578125" style="401" bestFit="1" customWidth="1"/>
    <col min="31" max="32" width="10.42578125" bestFit="1" customWidth="1"/>
  </cols>
  <sheetData>
    <row r="1" spans="1:30" ht="21">
      <c r="A1" s="404" t="s">
        <v>6884</v>
      </c>
      <c r="B1" s="404" t="s">
        <v>6883</v>
      </c>
      <c r="C1" s="432" t="s">
        <v>6904</v>
      </c>
      <c r="D1" s="404">
        <v>600</v>
      </c>
      <c r="E1" s="432"/>
      <c r="F1" s="404">
        <v>700</v>
      </c>
      <c r="G1" s="404"/>
      <c r="H1" s="404">
        <v>800</v>
      </c>
      <c r="I1" s="404"/>
      <c r="J1" s="404">
        <v>900</v>
      </c>
      <c r="K1" s="404"/>
      <c r="L1" s="404">
        <v>1000</v>
      </c>
      <c r="M1" s="404"/>
      <c r="N1" s="404">
        <v>1100</v>
      </c>
      <c r="O1" s="404"/>
      <c r="P1" s="404">
        <v>1200</v>
      </c>
      <c r="Q1" s="404"/>
      <c r="R1" s="404">
        <v>1300</v>
      </c>
      <c r="S1" s="404"/>
      <c r="T1" s="404">
        <v>1400</v>
      </c>
      <c r="U1" s="404"/>
      <c r="V1" s="404">
        <v>1500</v>
      </c>
      <c r="W1" s="404"/>
      <c r="X1" s="404">
        <v>1600</v>
      </c>
      <c r="Y1" s="404"/>
      <c r="Z1" s="404">
        <v>1700</v>
      </c>
      <c r="AA1" s="11"/>
      <c r="AB1"/>
      <c r="AD1"/>
    </row>
    <row r="2" spans="1:30" ht="21">
      <c r="A2" s="405">
        <v>600</v>
      </c>
      <c r="B2" s="406">
        <v>700</v>
      </c>
      <c r="C2" s="447">
        <f>$A$13-A2</f>
        <v>603</v>
      </c>
      <c r="D2" s="437">
        <f>IF(D$1&gt;$B2,$B2,D$1)</f>
        <v>600</v>
      </c>
      <c r="E2" s="433">
        <f>(D2-$C2)/$C2</f>
        <v>-4.9751243781094526E-3</v>
      </c>
      <c r="F2" s="437">
        <f>IF(F$1&gt;$B2,$B2,F$1)</f>
        <v>700</v>
      </c>
      <c r="G2" s="433">
        <f>(F2-$C2)/$C2</f>
        <v>0.16086235489220563</v>
      </c>
      <c r="H2" s="437">
        <f>IF(H$1&gt;$B2,$B2,H$1)</f>
        <v>700</v>
      </c>
      <c r="I2" s="433">
        <f>(H2-$C2)/$C2</f>
        <v>0.16086235489220563</v>
      </c>
      <c r="J2" s="437">
        <f>IF(J$1&gt;$B2,$B2,J$1)</f>
        <v>700</v>
      </c>
      <c r="K2" s="433">
        <f>(J2-$C2)/$C2</f>
        <v>0.16086235489220563</v>
      </c>
      <c r="L2" s="437">
        <f>IF(L$1&gt;$B2,$B2,L$1)</f>
        <v>700</v>
      </c>
      <c r="M2" s="477">
        <f>(L2-$C2)/$C2</f>
        <v>0.16086235489220563</v>
      </c>
      <c r="N2" s="476">
        <f>IF(N$1&gt;$B2,$B2,N$1)</f>
        <v>700</v>
      </c>
      <c r="O2" s="477">
        <f>(N2-$C2)/$C2</f>
        <v>0.16086235489220563</v>
      </c>
      <c r="P2" s="476">
        <f>IF(P$1&gt;$B2,$B2,P$1)</f>
        <v>700</v>
      </c>
      <c r="Q2" s="477">
        <f>(P2-$C2)/$C2</f>
        <v>0.16086235489220563</v>
      </c>
      <c r="R2" s="476">
        <f>IF(R$1&gt;$B2,$B2,R$1)</f>
        <v>700</v>
      </c>
      <c r="S2" s="477">
        <f>(R2-$C2)/$C2</f>
        <v>0.16086235489220563</v>
      </c>
      <c r="T2" s="437">
        <f>IF(T$1&gt;$B2,$B2,T$1)</f>
        <v>700</v>
      </c>
      <c r="U2" s="433">
        <f>(T2-$C2)/$C2</f>
        <v>0.16086235489220563</v>
      </c>
      <c r="V2" s="437">
        <f>IF(V$1&gt;$B2,$B2,V$1)</f>
        <v>700</v>
      </c>
      <c r="W2" s="433">
        <f>(V2-$C2)/$C2</f>
        <v>0.16086235489220563</v>
      </c>
      <c r="X2" s="437">
        <f>IF(X$1&gt;$B2,$B2,X$1)</f>
        <v>700</v>
      </c>
      <c r="Y2" s="433">
        <f>(X2-$C2)/$C2</f>
        <v>0.16086235489220563</v>
      </c>
      <c r="Z2" s="437">
        <f>IF(Z$1&gt;$B2,$B2,Z$1)</f>
        <v>700</v>
      </c>
      <c r="AA2" s="433">
        <f>(Z2-$C2)/$C2</f>
        <v>0.16086235489220563</v>
      </c>
      <c r="AD2"/>
    </row>
    <row r="3" spans="1:30" ht="21">
      <c r="A3" s="403">
        <v>560</v>
      </c>
      <c r="B3" s="408">
        <v>750</v>
      </c>
      <c r="C3" s="447">
        <f>$A$13-A3</f>
        <v>643</v>
      </c>
      <c r="D3" s="437">
        <f t="shared" ref="D3:D12" si="0">IF(D$1&gt;$B3,$B3,D$1)</f>
        <v>600</v>
      </c>
      <c r="E3" s="433">
        <f>(D3-$C3)/$C3</f>
        <v>-6.6874027993779159E-2</v>
      </c>
      <c r="F3" s="437">
        <f t="shared" ref="F3:F12" si="1">IF(F$1&gt;$B3,$B3,F$1)</f>
        <v>700</v>
      </c>
      <c r="G3" s="433">
        <f t="shared" ref="G3:G12" si="2">(F3-$C3)/$C3</f>
        <v>8.8646967340590979E-2</v>
      </c>
      <c r="H3" s="437">
        <f t="shared" ref="H3:H12" si="3">IF(H$1&gt;$B3,$B3,H$1)</f>
        <v>750</v>
      </c>
      <c r="I3" s="433">
        <f t="shared" ref="I3:I12" si="4">(H3-$C3)/$C3</f>
        <v>0.16640746500777606</v>
      </c>
      <c r="J3" s="437">
        <f t="shared" ref="J3:J12" si="5">IF(J$1&gt;$B3,$B3,J$1)</f>
        <v>750</v>
      </c>
      <c r="K3" s="433">
        <f t="shared" ref="K3:K12" si="6">(J3-$C3)/$C3</f>
        <v>0.16640746500777606</v>
      </c>
      <c r="L3" s="437">
        <f t="shared" ref="L3:L12" si="7">IF(L$1&gt;$B3,$B3,L$1)</f>
        <v>750</v>
      </c>
      <c r="M3" s="477">
        <f t="shared" ref="M3:M12" si="8">(L3-$C3)/$C3</f>
        <v>0.16640746500777606</v>
      </c>
      <c r="N3" s="476">
        <f t="shared" ref="N3:N12" si="9">IF(N$1&gt;$B3,$B3,N$1)</f>
        <v>750</v>
      </c>
      <c r="O3" s="477">
        <f t="shared" ref="O3:O12" si="10">(N3-$C3)/$C3</f>
        <v>0.16640746500777606</v>
      </c>
      <c r="P3" s="476">
        <f t="shared" ref="P3:P12" si="11">IF(P$1&gt;$B3,$B3,P$1)</f>
        <v>750</v>
      </c>
      <c r="Q3" s="477">
        <f t="shared" ref="Q3:Q12" si="12">(P3-$C3)/$C3</f>
        <v>0.16640746500777606</v>
      </c>
      <c r="R3" s="476">
        <f t="shared" ref="R3:R12" si="13">IF(R$1&gt;$B3,$B3,R$1)</f>
        <v>750</v>
      </c>
      <c r="S3" s="477">
        <f t="shared" ref="S3:S12" si="14">(R3-$C3)/$C3</f>
        <v>0.16640746500777606</v>
      </c>
      <c r="T3" s="437">
        <f t="shared" ref="T3:T12" si="15">IF(T$1&gt;$B3,$B3,T$1)</f>
        <v>750</v>
      </c>
      <c r="U3" s="433">
        <f t="shared" ref="U3:U12" si="16">(T3-$C3)/$C3</f>
        <v>0.16640746500777606</v>
      </c>
      <c r="V3" s="437">
        <f t="shared" ref="V3:V12" si="17">IF(V$1&gt;$B3,$B3,V$1)</f>
        <v>750</v>
      </c>
      <c r="W3" s="433">
        <f t="shared" ref="W3:W12" si="18">(V3-$C3)/$C3</f>
        <v>0.16640746500777606</v>
      </c>
      <c r="X3" s="437">
        <f t="shared" ref="X3:X12" si="19">IF(X$1&gt;$B3,$B3,X$1)</f>
        <v>750</v>
      </c>
      <c r="Y3" s="433">
        <f t="shared" ref="Y3:Y12" si="20">(X3-$C3)/$C3</f>
        <v>0.16640746500777606</v>
      </c>
      <c r="Z3" s="437">
        <f t="shared" ref="Z3:Z12" si="21">IF(Z$1&gt;$B3,$B3,Z$1)</f>
        <v>750</v>
      </c>
      <c r="AA3" s="433">
        <f t="shared" ref="AA3:AA12" si="22">(Z3-$C3)/$C3</f>
        <v>0.16640746500777606</v>
      </c>
      <c r="AB3"/>
      <c r="AD3"/>
    </row>
    <row r="4" spans="1:30" ht="21">
      <c r="A4" s="402">
        <v>520</v>
      </c>
      <c r="B4" s="416">
        <v>800</v>
      </c>
      <c r="C4" s="447">
        <f t="shared" ref="C4:C12" si="23">$A$13-A4</f>
        <v>683</v>
      </c>
      <c r="D4" s="437">
        <f t="shared" si="0"/>
        <v>600</v>
      </c>
      <c r="E4" s="433">
        <f>(D4-$C4)/$C4</f>
        <v>-0.12152269399707175</v>
      </c>
      <c r="F4" s="437">
        <f t="shared" si="1"/>
        <v>700</v>
      </c>
      <c r="G4" s="433">
        <f t="shared" si="2"/>
        <v>2.4890190336749635E-2</v>
      </c>
      <c r="H4" s="437">
        <f t="shared" si="3"/>
        <v>800</v>
      </c>
      <c r="I4" s="433">
        <f t="shared" si="4"/>
        <v>0.17130307467057102</v>
      </c>
      <c r="J4" s="437">
        <f t="shared" si="5"/>
        <v>800</v>
      </c>
      <c r="K4" s="433">
        <f t="shared" si="6"/>
        <v>0.17130307467057102</v>
      </c>
      <c r="L4" s="437">
        <f t="shared" si="7"/>
        <v>800</v>
      </c>
      <c r="M4" s="477">
        <f t="shared" si="8"/>
        <v>0.17130307467057102</v>
      </c>
      <c r="N4" s="476">
        <f t="shared" si="9"/>
        <v>800</v>
      </c>
      <c r="O4" s="477">
        <f t="shared" si="10"/>
        <v>0.17130307467057102</v>
      </c>
      <c r="P4" s="476">
        <f t="shared" si="11"/>
        <v>800</v>
      </c>
      <c r="Q4" s="477">
        <f t="shared" si="12"/>
        <v>0.17130307467057102</v>
      </c>
      <c r="R4" s="476">
        <f t="shared" si="13"/>
        <v>800</v>
      </c>
      <c r="S4" s="477">
        <f t="shared" si="14"/>
        <v>0.17130307467057102</v>
      </c>
      <c r="T4" s="437">
        <f t="shared" si="15"/>
        <v>800</v>
      </c>
      <c r="U4" s="433">
        <f t="shared" si="16"/>
        <v>0.17130307467057102</v>
      </c>
      <c r="V4" s="437">
        <f t="shared" si="17"/>
        <v>800</v>
      </c>
      <c r="W4" s="433">
        <f t="shared" si="18"/>
        <v>0.17130307467057102</v>
      </c>
      <c r="X4" s="437">
        <f t="shared" si="19"/>
        <v>800</v>
      </c>
      <c r="Y4" s="433">
        <f t="shared" si="20"/>
        <v>0.17130307467057102</v>
      </c>
      <c r="Z4" s="437">
        <f t="shared" si="21"/>
        <v>800</v>
      </c>
      <c r="AA4" s="433">
        <f t="shared" si="22"/>
        <v>0.17130307467057102</v>
      </c>
      <c r="AB4"/>
      <c r="AD4"/>
    </row>
    <row r="5" spans="1:30" ht="21">
      <c r="A5" s="413">
        <v>411</v>
      </c>
      <c r="B5" s="414">
        <v>900</v>
      </c>
      <c r="C5" s="447">
        <f t="shared" si="23"/>
        <v>792</v>
      </c>
      <c r="D5" s="437">
        <f t="shared" si="0"/>
        <v>600</v>
      </c>
      <c r="E5" s="433">
        <f t="shared" ref="E5:E12" si="24">(D5-$C5)/$C5</f>
        <v>-0.24242424242424243</v>
      </c>
      <c r="F5" s="437">
        <f t="shared" si="1"/>
        <v>700</v>
      </c>
      <c r="G5" s="433">
        <f t="shared" si="2"/>
        <v>-0.11616161616161616</v>
      </c>
      <c r="H5" s="437">
        <f t="shared" si="3"/>
        <v>800</v>
      </c>
      <c r="I5" s="433">
        <f t="shared" si="4"/>
        <v>1.0101010101010102E-2</v>
      </c>
      <c r="J5" s="437">
        <f t="shared" si="5"/>
        <v>900</v>
      </c>
      <c r="K5" s="433">
        <f t="shared" si="6"/>
        <v>0.13636363636363635</v>
      </c>
      <c r="L5" s="437">
        <f t="shared" si="7"/>
        <v>900</v>
      </c>
      <c r="M5" s="477">
        <f t="shared" si="8"/>
        <v>0.13636363636363635</v>
      </c>
      <c r="N5" s="476">
        <f t="shared" si="9"/>
        <v>900</v>
      </c>
      <c r="O5" s="477">
        <f t="shared" si="10"/>
        <v>0.13636363636363635</v>
      </c>
      <c r="P5" s="476">
        <f t="shared" si="11"/>
        <v>900</v>
      </c>
      <c r="Q5" s="477">
        <f t="shared" si="12"/>
        <v>0.13636363636363635</v>
      </c>
      <c r="R5" s="476">
        <f t="shared" si="13"/>
        <v>900</v>
      </c>
      <c r="S5" s="477">
        <f t="shared" si="14"/>
        <v>0.13636363636363635</v>
      </c>
      <c r="T5" s="437">
        <f t="shared" si="15"/>
        <v>900</v>
      </c>
      <c r="U5" s="433">
        <f t="shared" si="16"/>
        <v>0.13636363636363635</v>
      </c>
      <c r="V5" s="437">
        <f t="shared" si="17"/>
        <v>900</v>
      </c>
      <c r="W5" s="433">
        <f t="shared" si="18"/>
        <v>0.13636363636363635</v>
      </c>
      <c r="X5" s="437">
        <f t="shared" si="19"/>
        <v>900</v>
      </c>
      <c r="Y5" s="433">
        <f t="shared" si="20"/>
        <v>0.13636363636363635</v>
      </c>
      <c r="Z5" s="437">
        <f t="shared" si="21"/>
        <v>900</v>
      </c>
      <c r="AA5" s="433">
        <f t="shared" si="22"/>
        <v>0.13636363636363635</v>
      </c>
      <c r="AB5"/>
      <c r="AD5"/>
    </row>
    <row r="6" spans="1:30" ht="21">
      <c r="A6" s="410">
        <v>430</v>
      </c>
      <c r="B6" s="411">
        <v>1000</v>
      </c>
      <c r="C6" s="447">
        <f t="shared" si="23"/>
        <v>773</v>
      </c>
      <c r="D6" s="437">
        <f t="shared" si="0"/>
        <v>600</v>
      </c>
      <c r="E6" s="433">
        <f t="shared" si="24"/>
        <v>-0.2238033635187581</v>
      </c>
      <c r="F6" s="437">
        <f t="shared" si="1"/>
        <v>700</v>
      </c>
      <c r="G6" s="433">
        <f t="shared" si="2"/>
        <v>-9.4437257438551095E-2</v>
      </c>
      <c r="H6" s="437">
        <f t="shared" si="3"/>
        <v>800</v>
      </c>
      <c r="I6" s="433">
        <f t="shared" si="4"/>
        <v>3.4928848641655887E-2</v>
      </c>
      <c r="J6" s="437">
        <f t="shared" si="5"/>
        <v>900</v>
      </c>
      <c r="K6" s="433">
        <f t="shared" si="6"/>
        <v>0.16429495472186287</v>
      </c>
      <c r="L6" s="437">
        <f t="shared" si="7"/>
        <v>1000</v>
      </c>
      <c r="M6" s="477">
        <f t="shared" si="8"/>
        <v>0.29366106080206988</v>
      </c>
      <c r="N6" s="476">
        <f t="shared" si="9"/>
        <v>1000</v>
      </c>
      <c r="O6" s="477">
        <f t="shared" si="10"/>
        <v>0.29366106080206988</v>
      </c>
      <c r="P6" s="476">
        <f t="shared" si="11"/>
        <v>1000</v>
      </c>
      <c r="Q6" s="477">
        <f t="shared" si="12"/>
        <v>0.29366106080206988</v>
      </c>
      <c r="R6" s="476">
        <f t="shared" si="13"/>
        <v>1000</v>
      </c>
      <c r="S6" s="477">
        <f t="shared" si="14"/>
        <v>0.29366106080206988</v>
      </c>
      <c r="T6" s="437">
        <f t="shared" si="15"/>
        <v>1000</v>
      </c>
      <c r="U6" s="433">
        <f t="shared" si="16"/>
        <v>0.29366106080206988</v>
      </c>
      <c r="V6" s="437">
        <f t="shared" si="17"/>
        <v>1000</v>
      </c>
      <c r="W6" s="433">
        <f t="shared" si="18"/>
        <v>0.29366106080206988</v>
      </c>
      <c r="X6" s="437">
        <f t="shared" si="19"/>
        <v>1000</v>
      </c>
      <c r="Y6" s="433">
        <f t="shared" si="20"/>
        <v>0.29366106080206988</v>
      </c>
      <c r="Z6" s="437">
        <f t="shared" si="21"/>
        <v>1000</v>
      </c>
      <c r="AA6" s="433">
        <f t="shared" si="22"/>
        <v>0.29366106080206988</v>
      </c>
      <c r="AB6"/>
      <c r="AD6"/>
    </row>
    <row r="7" spans="1:30" ht="21">
      <c r="A7" s="422">
        <v>200</v>
      </c>
      <c r="B7" s="423">
        <v>1100</v>
      </c>
      <c r="C7" s="447">
        <f t="shared" si="23"/>
        <v>1003</v>
      </c>
      <c r="D7" s="437">
        <f t="shared" si="0"/>
        <v>600</v>
      </c>
      <c r="E7" s="433">
        <f t="shared" si="24"/>
        <v>-0.40179461615154538</v>
      </c>
      <c r="F7" s="437">
        <f t="shared" si="1"/>
        <v>700</v>
      </c>
      <c r="G7" s="433">
        <f t="shared" si="2"/>
        <v>-0.30209371884346958</v>
      </c>
      <c r="H7" s="437">
        <f t="shared" si="3"/>
        <v>800</v>
      </c>
      <c r="I7" s="433">
        <f t="shared" si="4"/>
        <v>-0.20239282153539381</v>
      </c>
      <c r="J7" s="437">
        <f t="shared" si="5"/>
        <v>900</v>
      </c>
      <c r="K7" s="433">
        <f t="shared" si="6"/>
        <v>-0.10269192422731804</v>
      </c>
      <c r="L7" s="437">
        <f t="shared" si="7"/>
        <v>1000</v>
      </c>
      <c r="M7" s="477">
        <f t="shared" si="8"/>
        <v>-2.9910269192422734E-3</v>
      </c>
      <c r="N7" s="476">
        <f t="shared" si="9"/>
        <v>1100</v>
      </c>
      <c r="O7" s="477">
        <f t="shared" si="10"/>
        <v>9.6709870388833497E-2</v>
      </c>
      <c r="P7" s="476">
        <f t="shared" si="11"/>
        <v>1100</v>
      </c>
      <c r="Q7" s="477">
        <f t="shared" si="12"/>
        <v>9.6709870388833497E-2</v>
      </c>
      <c r="R7" s="476">
        <f t="shared" si="13"/>
        <v>1100</v>
      </c>
      <c r="S7" s="477">
        <f t="shared" si="14"/>
        <v>9.6709870388833497E-2</v>
      </c>
      <c r="T7" s="437">
        <f t="shared" si="15"/>
        <v>1100</v>
      </c>
      <c r="U7" s="433">
        <f t="shared" si="16"/>
        <v>9.6709870388833497E-2</v>
      </c>
      <c r="V7" s="437">
        <f t="shared" si="17"/>
        <v>1100</v>
      </c>
      <c r="W7" s="433">
        <f t="shared" si="18"/>
        <v>9.6709870388833497E-2</v>
      </c>
      <c r="X7" s="437">
        <f t="shared" si="19"/>
        <v>1100</v>
      </c>
      <c r="Y7" s="433">
        <f t="shared" si="20"/>
        <v>9.6709870388833497E-2</v>
      </c>
      <c r="Z7" s="437">
        <f t="shared" si="21"/>
        <v>1100</v>
      </c>
      <c r="AA7" s="433">
        <f t="shared" si="22"/>
        <v>9.6709870388833497E-2</v>
      </c>
      <c r="AB7"/>
      <c r="AD7"/>
    </row>
    <row r="8" spans="1:30" ht="21">
      <c r="A8" s="483">
        <v>200</v>
      </c>
      <c r="B8" s="484">
        <v>1200</v>
      </c>
      <c r="C8" s="478">
        <f t="shared" si="23"/>
        <v>1003</v>
      </c>
      <c r="D8" s="479">
        <f t="shared" si="0"/>
        <v>600</v>
      </c>
      <c r="E8" s="480">
        <f t="shared" si="24"/>
        <v>-0.40179461615154538</v>
      </c>
      <c r="F8" s="479">
        <f t="shared" si="1"/>
        <v>700</v>
      </c>
      <c r="G8" s="480">
        <f t="shared" si="2"/>
        <v>-0.30209371884346958</v>
      </c>
      <c r="H8" s="479">
        <f t="shared" si="3"/>
        <v>800</v>
      </c>
      <c r="I8" s="480">
        <f t="shared" si="4"/>
        <v>-0.20239282153539381</v>
      </c>
      <c r="J8" s="479">
        <f t="shared" si="5"/>
        <v>900</v>
      </c>
      <c r="K8" s="480">
        <f t="shared" si="6"/>
        <v>-0.10269192422731804</v>
      </c>
      <c r="L8" s="479">
        <f t="shared" si="7"/>
        <v>1000</v>
      </c>
      <c r="M8" s="481">
        <f t="shared" si="8"/>
        <v>-2.9910269192422734E-3</v>
      </c>
      <c r="N8" s="482">
        <f t="shared" si="9"/>
        <v>1100</v>
      </c>
      <c r="O8" s="481">
        <f t="shared" si="10"/>
        <v>9.6709870388833497E-2</v>
      </c>
      <c r="P8" s="487">
        <f t="shared" si="11"/>
        <v>1200</v>
      </c>
      <c r="Q8" s="488">
        <f t="shared" si="12"/>
        <v>0.19641076769690927</v>
      </c>
      <c r="R8" s="487">
        <f t="shared" si="13"/>
        <v>1200</v>
      </c>
      <c r="S8" s="488">
        <f t="shared" si="14"/>
        <v>0.19641076769690927</v>
      </c>
      <c r="T8" s="479">
        <f t="shared" si="15"/>
        <v>1200</v>
      </c>
      <c r="U8" s="480">
        <f t="shared" si="16"/>
        <v>0.19641076769690927</v>
      </c>
      <c r="V8" s="479">
        <f t="shared" si="17"/>
        <v>1200</v>
      </c>
      <c r="W8" s="480">
        <f t="shared" si="18"/>
        <v>0.19641076769690927</v>
      </c>
      <c r="X8" s="479">
        <f t="shared" si="19"/>
        <v>1200</v>
      </c>
      <c r="Y8" s="480">
        <f t="shared" si="20"/>
        <v>0.19641076769690927</v>
      </c>
      <c r="Z8" s="479">
        <f t="shared" si="21"/>
        <v>1200</v>
      </c>
      <c r="AA8" s="480">
        <f t="shared" si="22"/>
        <v>0.19641076769690927</v>
      </c>
      <c r="AB8"/>
      <c r="AD8"/>
    </row>
    <row r="9" spans="1:30" ht="21">
      <c r="A9" s="483">
        <v>70</v>
      </c>
      <c r="B9" s="484">
        <v>1300</v>
      </c>
      <c r="C9" s="478">
        <f t="shared" si="23"/>
        <v>1133</v>
      </c>
      <c r="D9" s="479">
        <f t="shared" si="0"/>
        <v>600</v>
      </c>
      <c r="E9" s="480">
        <f t="shared" si="24"/>
        <v>-0.47043248014121802</v>
      </c>
      <c r="F9" s="479">
        <f t="shared" si="1"/>
        <v>700</v>
      </c>
      <c r="G9" s="480">
        <f t="shared" si="2"/>
        <v>-0.38217122683142102</v>
      </c>
      <c r="H9" s="479">
        <f t="shared" si="3"/>
        <v>800</v>
      </c>
      <c r="I9" s="480">
        <f t="shared" si="4"/>
        <v>-0.29390997352162401</v>
      </c>
      <c r="J9" s="479">
        <f t="shared" si="5"/>
        <v>900</v>
      </c>
      <c r="K9" s="480">
        <f t="shared" si="6"/>
        <v>-0.20564872021182701</v>
      </c>
      <c r="L9" s="479">
        <f t="shared" si="7"/>
        <v>1000</v>
      </c>
      <c r="M9" s="481">
        <f t="shared" si="8"/>
        <v>-0.11738746690203</v>
      </c>
      <c r="N9" s="482">
        <f t="shared" si="9"/>
        <v>1100</v>
      </c>
      <c r="O9" s="481">
        <f t="shared" si="10"/>
        <v>-2.9126213592233011E-2</v>
      </c>
      <c r="P9" s="487">
        <f t="shared" si="11"/>
        <v>1200</v>
      </c>
      <c r="Q9" s="488">
        <f t="shared" si="12"/>
        <v>5.9135039717563988E-2</v>
      </c>
      <c r="R9" s="487">
        <f t="shared" si="13"/>
        <v>1300</v>
      </c>
      <c r="S9" s="488">
        <f t="shared" si="14"/>
        <v>0.14739629302736099</v>
      </c>
      <c r="T9" s="479">
        <f t="shared" si="15"/>
        <v>1300</v>
      </c>
      <c r="U9" s="480">
        <f t="shared" si="16"/>
        <v>0.14739629302736099</v>
      </c>
      <c r="V9" s="479">
        <f t="shared" si="17"/>
        <v>1300</v>
      </c>
      <c r="W9" s="480">
        <f t="shared" si="18"/>
        <v>0.14739629302736099</v>
      </c>
      <c r="X9" s="479">
        <f t="shared" si="19"/>
        <v>1300</v>
      </c>
      <c r="Y9" s="480">
        <f t="shared" si="20"/>
        <v>0.14739629302736099</v>
      </c>
      <c r="Z9" s="479">
        <f t="shared" si="21"/>
        <v>1300</v>
      </c>
      <c r="AA9" s="480">
        <f t="shared" si="22"/>
        <v>0.14739629302736099</v>
      </c>
      <c r="AB9"/>
      <c r="AD9"/>
    </row>
    <row r="10" spans="1:30" ht="21">
      <c r="A10" s="428">
        <v>150</v>
      </c>
      <c r="B10" s="429">
        <v>1400</v>
      </c>
      <c r="C10" s="447">
        <f t="shared" si="23"/>
        <v>1053</v>
      </c>
      <c r="D10" s="437">
        <f t="shared" si="0"/>
        <v>600</v>
      </c>
      <c r="E10" s="433">
        <f t="shared" si="24"/>
        <v>-0.43019943019943019</v>
      </c>
      <c r="F10" s="437">
        <f t="shared" si="1"/>
        <v>700</v>
      </c>
      <c r="G10" s="433">
        <f t="shared" si="2"/>
        <v>-0.33523266856600192</v>
      </c>
      <c r="H10" s="437">
        <f t="shared" si="3"/>
        <v>800</v>
      </c>
      <c r="I10" s="433">
        <f t="shared" si="4"/>
        <v>-0.2402659069325736</v>
      </c>
      <c r="J10" s="437">
        <f t="shared" si="5"/>
        <v>900</v>
      </c>
      <c r="K10" s="433">
        <f t="shared" si="6"/>
        <v>-0.14529914529914531</v>
      </c>
      <c r="L10" s="437">
        <f t="shared" si="7"/>
        <v>1000</v>
      </c>
      <c r="M10" s="477">
        <f t="shared" si="8"/>
        <v>-5.0332383665716997E-2</v>
      </c>
      <c r="N10" s="476">
        <f t="shared" si="9"/>
        <v>1100</v>
      </c>
      <c r="O10" s="477">
        <f t="shared" si="10"/>
        <v>4.4634377967711303E-2</v>
      </c>
      <c r="P10" s="476">
        <f t="shared" si="11"/>
        <v>1200</v>
      </c>
      <c r="Q10" s="477">
        <f t="shared" si="12"/>
        <v>0.1396011396011396</v>
      </c>
      <c r="R10" s="476">
        <f t="shared" si="13"/>
        <v>1300</v>
      </c>
      <c r="S10" s="477">
        <f t="shared" si="14"/>
        <v>0.23456790123456789</v>
      </c>
      <c r="T10" s="437">
        <f t="shared" si="15"/>
        <v>1400</v>
      </c>
      <c r="U10" s="433">
        <f t="shared" si="16"/>
        <v>0.32953466286799621</v>
      </c>
      <c r="V10" s="437">
        <f t="shared" si="17"/>
        <v>1400</v>
      </c>
      <c r="W10" s="433">
        <f t="shared" si="18"/>
        <v>0.32953466286799621</v>
      </c>
      <c r="X10" s="437">
        <f t="shared" si="19"/>
        <v>1400</v>
      </c>
      <c r="Y10" s="433">
        <f t="shared" si="20"/>
        <v>0.32953466286799621</v>
      </c>
      <c r="Z10" s="437">
        <f t="shared" si="21"/>
        <v>1400</v>
      </c>
      <c r="AA10" s="433">
        <f t="shared" si="22"/>
        <v>0.32953466286799621</v>
      </c>
      <c r="AB10"/>
      <c r="AC10" t="s">
        <v>25</v>
      </c>
      <c r="AD10"/>
    </row>
    <row r="11" spans="1:30" ht="21">
      <c r="A11" s="425">
        <v>75</v>
      </c>
      <c r="B11" s="426">
        <v>1500</v>
      </c>
      <c r="C11" s="447">
        <f t="shared" si="23"/>
        <v>1128</v>
      </c>
      <c r="D11" s="437">
        <f t="shared" si="0"/>
        <v>600</v>
      </c>
      <c r="E11" s="433">
        <f t="shared" si="24"/>
        <v>-0.46808510638297873</v>
      </c>
      <c r="F11" s="437">
        <f t="shared" si="1"/>
        <v>700</v>
      </c>
      <c r="G11" s="433">
        <f t="shared" si="2"/>
        <v>-0.37943262411347517</v>
      </c>
      <c r="H11" s="437">
        <f t="shared" si="3"/>
        <v>800</v>
      </c>
      <c r="I11" s="433">
        <f t="shared" si="4"/>
        <v>-0.29078014184397161</v>
      </c>
      <c r="J11" s="437">
        <f t="shared" si="5"/>
        <v>900</v>
      </c>
      <c r="K11" s="433">
        <f t="shared" si="6"/>
        <v>-0.20212765957446807</v>
      </c>
      <c r="L11" s="437">
        <f t="shared" si="7"/>
        <v>1000</v>
      </c>
      <c r="M11" s="477">
        <f t="shared" si="8"/>
        <v>-0.11347517730496454</v>
      </c>
      <c r="N11" s="476">
        <f t="shared" si="9"/>
        <v>1100</v>
      </c>
      <c r="O11" s="477">
        <f t="shared" si="10"/>
        <v>-2.4822695035460994E-2</v>
      </c>
      <c r="P11" s="476">
        <f t="shared" si="11"/>
        <v>1200</v>
      </c>
      <c r="Q11" s="477">
        <f t="shared" si="12"/>
        <v>6.3829787234042548E-2</v>
      </c>
      <c r="R11" s="476">
        <f t="shared" si="13"/>
        <v>1300</v>
      </c>
      <c r="S11" s="477">
        <f t="shared" si="14"/>
        <v>0.1524822695035461</v>
      </c>
      <c r="T11" s="437">
        <f t="shared" si="15"/>
        <v>1400</v>
      </c>
      <c r="U11" s="433">
        <f t="shared" si="16"/>
        <v>0.24113475177304963</v>
      </c>
      <c r="V11" s="437">
        <f t="shared" si="17"/>
        <v>1500</v>
      </c>
      <c r="W11" s="433">
        <f t="shared" si="18"/>
        <v>0.32978723404255317</v>
      </c>
      <c r="X11" s="437">
        <f t="shared" si="19"/>
        <v>1500</v>
      </c>
      <c r="Y11" s="433">
        <f t="shared" si="20"/>
        <v>0.32978723404255317</v>
      </c>
      <c r="Z11" s="437">
        <f t="shared" si="21"/>
        <v>1500</v>
      </c>
      <c r="AA11" s="433">
        <f t="shared" si="22"/>
        <v>0.32978723404255317</v>
      </c>
      <c r="AB11"/>
      <c r="AD11"/>
    </row>
    <row r="12" spans="1:30" ht="21">
      <c r="A12" s="418">
        <v>59</v>
      </c>
      <c r="B12" s="419">
        <v>1600</v>
      </c>
      <c r="C12" s="447">
        <f t="shared" si="23"/>
        <v>1144</v>
      </c>
      <c r="D12" s="437">
        <f t="shared" si="0"/>
        <v>600</v>
      </c>
      <c r="E12" s="433">
        <f t="shared" si="24"/>
        <v>-0.47552447552447552</v>
      </c>
      <c r="F12" s="437">
        <f t="shared" si="1"/>
        <v>700</v>
      </c>
      <c r="G12" s="433">
        <f t="shared" si="2"/>
        <v>-0.38811188811188813</v>
      </c>
      <c r="H12" s="437">
        <f t="shared" si="3"/>
        <v>800</v>
      </c>
      <c r="I12" s="433">
        <f t="shared" si="4"/>
        <v>-0.30069930069930068</v>
      </c>
      <c r="J12" s="437">
        <f t="shared" si="5"/>
        <v>900</v>
      </c>
      <c r="K12" s="433">
        <f t="shared" si="6"/>
        <v>-0.21328671328671328</v>
      </c>
      <c r="L12" s="437">
        <f t="shared" si="7"/>
        <v>1000</v>
      </c>
      <c r="M12" s="477">
        <f t="shared" si="8"/>
        <v>-0.12587412587412589</v>
      </c>
      <c r="N12" s="476">
        <f t="shared" si="9"/>
        <v>1100</v>
      </c>
      <c r="O12" s="477">
        <f t="shared" si="10"/>
        <v>-3.8461538461538464E-2</v>
      </c>
      <c r="P12" s="476">
        <f t="shared" si="11"/>
        <v>1200</v>
      </c>
      <c r="Q12" s="477">
        <f t="shared" si="12"/>
        <v>4.8951048951048952E-2</v>
      </c>
      <c r="R12" s="476">
        <f t="shared" si="13"/>
        <v>1300</v>
      </c>
      <c r="S12" s="477">
        <f t="shared" si="14"/>
        <v>0.13636363636363635</v>
      </c>
      <c r="T12" s="437">
        <f t="shared" si="15"/>
        <v>1400</v>
      </c>
      <c r="U12" s="433">
        <f t="shared" si="16"/>
        <v>0.22377622377622378</v>
      </c>
      <c r="V12" s="437">
        <f t="shared" si="17"/>
        <v>1500</v>
      </c>
      <c r="W12" s="433">
        <f t="shared" si="18"/>
        <v>0.3111888111888112</v>
      </c>
      <c r="X12" s="437">
        <f t="shared" si="19"/>
        <v>1600</v>
      </c>
      <c r="Y12" s="433">
        <f t="shared" si="20"/>
        <v>0.39860139860139859</v>
      </c>
      <c r="Z12" s="437">
        <f t="shared" si="21"/>
        <v>1600</v>
      </c>
      <c r="AA12" s="433">
        <f t="shared" si="22"/>
        <v>0.39860139860139859</v>
      </c>
      <c r="AB12"/>
      <c r="AD12"/>
    </row>
    <row r="13" spans="1:30" ht="21">
      <c r="A13" s="428">
        <v>1203</v>
      </c>
      <c r="B13" s="428"/>
      <c r="C13" s="434"/>
      <c r="D13" s="430"/>
      <c r="E13" s="485">
        <f>(D1-$A$13)/$A$13</f>
        <v>-0.50124688279301743</v>
      </c>
      <c r="F13" s="430"/>
      <c r="G13" s="428"/>
      <c r="H13" s="430"/>
      <c r="I13" s="428"/>
      <c r="J13" s="430"/>
      <c r="K13" s="428"/>
      <c r="L13" s="430"/>
      <c r="M13" s="428"/>
      <c r="N13" s="430"/>
      <c r="O13" s="428"/>
      <c r="P13" s="430"/>
      <c r="Q13" s="428"/>
      <c r="R13" s="430"/>
      <c r="S13" s="428"/>
      <c r="T13" s="430"/>
      <c r="U13" s="428"/>
      <c r="V13" s="430"/>
      <c r="W13" s="428"/>
      <c r="X13" s="430"/>
      <c r="Y13" s="428"/>
      <c r="Z13" s="430"/>
      <c r="AA13" s="11"/>
      <c r="AB13"/>
      <c r="AD13"/>
    </row>
    <row r="14" spans="1:30" ht="21">
      <c r="A14" s="434" t="s">
        <v>6885</v>
      </c>
      <c r="B14" s="421"/>
      <c r="C14" s="435"/>
      <c r="D14" s="421"/>
      <c r="E14" s="435"/>
      <c r="F14" s="421"/>
      <c r="G14" s="421"/>
      <c r="H14" s="421"/>
      <c r="I14" s="421"/>
      <c r="J14" s="421"/>
      <c r="K14" s="421"/>
      <c r="L14" s="421"/>
      <c r="M14" s="421"/>
      <c r="N14" s="421"/>
      <c r="O14" s="421"/>
      <c r="P14" s="421"/>
      <c r="Q14" s="421"/>
      <c r="R14" s="421"/>
      <c r="S14" s="421"/>
      <c r="T14" s="421"/>
      <c r="U14" s="421"/>
      <c r="V14" s="421"/>
      <c r="W14" s="421"/>
      <c r="X14" s="421"/>
      <c r="Y14" s="421"/>
      <c r="Z14" s="421"/>
      <c r="AA14" s="11"/>
      <c r="AB14"/>
      <c r="AD14"/>
    </row>
    <row r="15" spans="1:30">
      <c r="A15" s="456"/>
      <c r="B15" s="456"/>
      <c r="C15" s="456"/>
      <c r="D15" s="456"/>
      <c r="E15" s="401"/>
      <c r="F15" s="401"/>
      <c r="G15" s="401"/>
      <c r="H15" s="401"/>
      <c r="I15" s="401"/>
      <c r="K15" s="401"/>
    </row>
    <row r="16" spans="1:30" ht="21">
      <c r="A16" s="23" t="s">
        <v>6894</v>
      </c>
      <c r="B16" s="470" t="s">
        <v>6896</v>
      </c>
      <c r="C16" s="456"/>
      <c r="D16" s="456"/>
      <c r="E16" s="401"/>
      <c r="F16" s="401"/>
      <c r="G16" s="401"/>
      <c r="H16" s="401"/>
      <c r="I16" s="401"/>
      <c r="K16" s="401"/>
    </row>
    <row r="17" spans="1:20">
      <c r="A17" s="456"/>
      <c r="B17" s="456"/>
      <c r="C17" s="456"/>
      <c r="D17" s="456"/>
      <c r="E17" s="401"/>
      <c r="F17" s="401"/>
      <c r="K17" s="401" t="s">
        <v>6909</v>
      </c>
      <c r="L17" s="401">
        <v>14</v>
      </c>
    </row>
    <row r="18" spans="1:20">
      <c r="A18" s="495"/>
      <c r="B18" s="250" t="s">
        <v>4163</v>
      </c>
      <c r="C18" s="250" t="s">
        <v>6883</v>
      </c>
      <c r="D18" s="250" t="s">
        <v>6901</v>
      </c>
      <c r="E18" s="250" t="s">
        <v>840</v>
      </c>
      <c r="F18" s="401"/>
      <c r="K18" s="401" t="s">
        <v>6910</v>
      </c>
      <c r="L18" s="401">
        <v>31</v>
      </c>
    </row>
    <row r="19" spans="1:20">
      <c r="A19" s="354" t="s">
        <v>6918</v>
      </c>
      <c r="B19" s="357">
        <v>380</v>
      </c>
      <c r="C19" s="357">
        <v>450</v>
      </c>
      <c r="D19" s="357">
        <v>34</v>
      </c>
      <c r="E19" s="474">
        <f t="shared" ref="E19:E26" si="25">C19/(B19-D19)-1</f>
        <v>0.300578034682081</v>
      </c>
      <c r="F19" s="401"/>
      <c r="G19" s="401"/>
      <c r="H19" s="401" t="s">
        <v>25</v>
      </c>
      <c r="I19" s="401" t="s">
        <v>25</v>
      </c>
      <c r="K19" s="494" t="s">
        <v>6911</v>
      </c>
      <c r="L19" s="401">
        <v>31</v>
      </c>
    </row>
    <row r="20" spans="1:20">
      <c r="A20" s="354" t="s">
        <v>5594</v>
      </c>
      <c r="B20" s="354">
        <v>131</v>
      </c>
      <c r="C20" s="354">
        <v>100</v>
      </c>
      <c r="D20" s="354">
        <v>57</v>
      </c>
      <c r="E20" s="474">
        <f>C20/(B20-D20)-1</f>
        <v>0.35135135135135132</v>
      </c>
      <c r="F20" s="401">
        <f>E20/4.42</f>
        <v>7.9491255961844184E-2</v>
      </c>
      <c r="G20" s="401"/>
      <c r="H20" s="401"/>
      <c r="I20" s="401"/>
      <c r="K20" s="401" t="s">
        <v>6912</v>
      </c>
      <c r="L20" s="401">
        <v>4</v>
      </c>
    </row>
    <row r="21" spans="1:20">
      <c r="A21" s="354" t="s">
        <v>4405</v>
      </c>
      <c r="B21" s="354">
        <v>794</v>
      </c>
      <c r="C21" s="354">
        <v>466</v>
      </c>
      <c r="D21" s="354">
        <v>380</v>
      </c>
      <c r="E21" s="474">
        <f t="shared" si="25"/>
        <v>0.12560386473429941</v>
      </c>
      <c r="F21" s="401">
        <f>E21/5.5</f>
        <v>2.2837066315327167E-2</v>
      </c>
      <c r="G21" s="401"/>
      <c r="H21" s="401"/>
      <c r="I21" s="401"/>
      <c r="K21" s="401" t="s">
        <v>4780</v>
      </c>
      <c r="L21" s="401">
        <f>SUM(L17:L20)</f>
        <v>80</v>
      </c>
    </row>
    <row r="22" spans="1:20">
      <c r="A22" s="354" t="s">
        <v>6915</v>
      </c>
      <c r="B22" s="354">
        <v>844</v>
      </c>
      <c r="C22" s="354">
        <v>800</v>
      </c>
      <c r="D22" s="354">
        <v>132</v>
      </c>
      <c r="E22" s="474">
        <f t="shared" si="25"/>
        <v>0.12359550561797761</v>
      </c>
      <c r="F22" s="401"/>
      <c r="G22" s="401"/>
      <c r="H22" s="401"/>
      <c r="I22" s="401"/>
      <c r="K22" s="401" t="s">
        <v>6913</v>
      </c>
      <c r="L22" s="401">
        <f>L21/31</f>
        <v>2.5806451612903225</v>
      </c>
      <c r="M22">
        <v>21</v>
      </c>
      <c r="N22" s="401" t="s">
        <v>190</v>
      </c>
    </row>
    <row r="23" spans="1:20">
      <c r="A23" s="354" t="s">
        <v>5596</v>
      </c>
      <c r="B23" s="354">
        <v>407</v>
      </c>
      <c r="C23" s="354">
        <v>400</v>
      </c>
      <c r="D23" s="354">
        <v>17.2</v>
      </c>
      <c r="E23" s="474">
        <f t="shared" si="25"/>
        <v>2.616726526423796E-2</v>
      </c>
      <c r="F23" s="401"/>
      <c r="G23" s="401"/>
      <c r="H23" s="401" t="s">
        <v>25</v>
      </c>
      <c r="I23" s="401"/>
      <c r="K23" s="401" t="s">
        <v>25</v>
      </c>
      <c r="L23" s="401">
        <f>M22/L22</f>
        <v>8.1375000000000011</v>
      </c>
      <c r="M23" t="s">
        <v>25</v>
      </c>
    </row>
    <row r="24" spans="1:20">
      <c r="A24" s="354" t="s">
        <v>6919</v>
      </c>
      <c r="B24" s="354">
        <v>2180</v>
      </c>
      <c r="C24" s="354">
        <v>2800</v>
      </c>
      <c r="D24" s="354">
        <v>500</v>
      </c>
      <c r="E24" s="474">
        <f t="shared" si="25"/>
        <v>0.66666666666666674</v>
      </c>
      <c r="F24" s="561">
        <v>1226</v>
      </c>
      <c r="G24" s="401"/>
      <c r="H24" s="401"/>
      <c r="I24" s="401"/>
      <c r="K24" s="401" t="s">
        <v>25</v>
      </c>
    </row>
    <row r="25" spans="1:20">
      <c r="A25" s="354" t="s">
        <v>6920</v>
      </c>
      <c r="B25" s="354">
        <v>1790</v>
      </c>
      <c r="C25" s="354">
        <v>2600</v>
      </c>
      <c r="D25" s="354">
        <v>180</v>
      </c>
      <c r="E25" s="474">
        <f t="shared" si="25"/>
        <v>0.61490683229813659</v>
      </c>
      <c r="F25" s="401"/>
      <c r="G25" s="401"/>
      <c r="H25" s="401"/>
      <c r="I25" s="401"/>
      <c r="K25" s="401"/>
    </row>
    <row r="26" spans="1:20">
      <c r="A26" s="354" t="s">
        <v>7040</v>
      </c>
      <c r="B26" s="354">
        <v>1128</v>
      </c>
      <c r="C26" s="354">
        <v>1400</v>
      </c>
      <c r="D26" s="354">
        <v>42</v>
      </c>
      <c r="E26" s="474">
        <f t="shared" si="25"/>
        <v>0.28913443830570906</v>
      </c>
      <c r="F26" s="401"/>
      <c r="G26" s="401"/>
      <c r="H26" s="401"/>
      <c r="I26" s="401"/>
    </row>
    <row r="27" spans="1:20" ht="15.75">
      <c r="A27" s="354" t="s">
        <v>6922</v>
      </c>
      <c r="B27" s="354">
        <v>556</v>
      </c>
      <c r="C27" s="354">
        <v>600</v>
      </c>
      <c r="D27" s="354">
        <v>60</v>
      </c>
      <c r="E27" s="474">
        <f t="shared" ref="E27" si="26">C27/(B27-D27)-1</f>
        <v>0.20967741935483875</v>
      </c>
      <c r="K27" s="545"/>
      <c r="L27" s="545"/>
      <c r="Q27" s="45" t="s">
        <v>7020</v>
      </c>
      <c r="R27" s="447">
        <v>250000000</v>
      </c>
      <c r="S27" s="548">
        <v>41</v>
      </c>
      <c r="T27" s="447">
        <f>R27*S27</f>
        <v>10250000000</v>
      </c>
    </row>
    <row r="28" spans="1:20" ht="15.75">
      <c r="A28" s="354" t="s">
        <v>6503</v>
      </c>
      <c r="B28" s="354">
        <v>630</v>
      </c>
      <c r="C28" s="354">
        <v>497</v>
      </c>
      <c r="D28" s="354">
        <v>220</v>
      </c>
      <c r="E28" s="474">
        <f t="shared" ref="E28" si="27">C28/(B28-D28)-1</f>
        <v>0.21219512195121948</v>
      </c>
      <c r="K28" s="401"/>
      <c r="L28" s="545"/>
      <c r="Q28" t="s">
        <v>7021</v>
      </c>
      <c r="R28" s="447">
        <v>110000000</v>
      </c>
      <c r="S28">
        <v>7</v>
      </c>
      <c r="T28" s="447">
        <f t="shared" ref="T28:T32" si="28">R28*S28</f>
        <v>770000000</v>
      </c>
    </row>
    <row r="29" spans="1:20" ht="15.75">
      <c r="A29" s="354" t="s">
        <v>6893</v>
      </c>
      <c r="B29" s="354">
        <v>18600</v>
      </c>
      <c r="C29" s="354">
        <v>20000</v>
      </c>
      <c r="D29" s="354">
        <v>600</v>
      </c>
      <c r="E29" s="474">
        <f t="shared" ref="E29" si="29">C29/(B29-D29)-1</f>
        <v>0.11111111111111116</v>
      </c>
      <c r="G29" s="354" t="s">
        <v>422</v>
      </c>
      <c r="H29" s="354" t="s">
        <v>690</v>
      </c>
      <c r="I29" s="354" t="s">
        <v>1005</v>
      </c>
      <c r="J29" s="354" t="s">
        <v>5281</v>
      </c>
      <c r="K29" s="354" t="s">
        <v>6836</v>
      </c>
      <c r="L29" s="545"/>
      <c r="Q29" t="s">
        <v>7022</v>
      </c>
      <c r="R29" s="447">
        <v>60000000</v>
      </c>
      <c r="S29">
        <v>2</v>
      </c>
      <c r="T29" s="447">
        <f t="shared" si="28"/>
        <v>120000000</v>
      </c>
    </row>
    <row r="30" spans="1:20" ht="15.75">
      <c r="A30" s="354" t="s">
        <v>6936</v>
      </c>
      <c r="B30" s="354">
        <v>3213</v>
      </c>
      <c r="C30" s="354">
        <v>3000</v>
      </c>
      <c r="D30" s="354">
        <v>500</v>
      </c>
      <c r="E30" s="474" t="s">
        <v>25</v>
      </c>
      <c r="G30" s="354">
        <v>8</v>
      </c>
      <c r="H30" s="354">
        <v>0</v>
      </c>
      <c r="I30" s="354">
        <v>0</v>
      </c>
      <c r="J30" s="354">
        <v>0</v>
      </c>
      <c r="K30" s="354">
        <v>0</v>
      </c>
      <c r="L30" s="545"/>
      <c r="Q30" t="s">
        <v>7025</v>
      </c>
      <c r="R30" s="447">
        <v>30000000</v>
      </c>
      <c r="S30">
        <v>6</v>
      </c>
      <c r="T30" s="447">
        <f t="shared" si="28"/>
        <v>180000000</v>
      </c>
    </row>
    <row r="31" spans="1:20" ht="15.75">
      <c r="G31" s="354"/>
      <c r="H31" s="354"/>
      <c r="I31" s="354"/>
      <c r="J31" s="354"/>
      <c r="K31" s="354"/>
      <c r="L31" s="545"/>
      <c r="Q31" t="s">
        <v>7024</v>
      </c>
      <c r="R31" s="447">
        <v>20000000</v>
      </c>
      <c r="S31">
        <v>1</v>
      </c>
      <c r="T31" s="447">
        <f t="shared" si="28"/>
        <v>20000000</v>
      </c>
    </row>
    <row r="32" spans="1:20" ht="15.75">
      <c r="G32" s="354"/>
      <c r="H32" s="354"/>
      <c r="I32" s="354"/>
      <c r="J32" s="354"/>
      <c r="K32" s="354"/>
      <c r="L32" s="545"/>
      <c r="Q32" t="s">
        <v>7023</v>
      </c>
      <c r="R32" s="447">
        <v>5000000</v>
      </c>
      <c r="S32">
        <v>3</v>
      </c>
      <c r="T32" s="447">
        <f t="shared" si="28"/>
        <v>15000000</v>
      </c>
    </row>
    <row r="33" spans="1:22">
      <c r="G33" s="354"/>
      <c r="H33" s="354"/>
      <c r="I33" s="354"/>
      <c r="J33" s="354"/>
      <c r="K33" s="354"/>
      <c r="L33" s="545"/>
    </row>
    <row r="34" spans="1:22" ht="21">
      <c r="A34" s="357" t="s">
        <v>861</v>
      </c>
      <c r="B34" s="503">
        <v>137</v>
      </c>
      <c r="G34" s="354"/>
      <c r="H34" s="354"/>
      <c r="I34" s="354"/>
      <c r="J34" s="354"/>
      <c r="K34" s="354"/>
      <c r="L34" s="545"/>
      <c r="S34" t="s">
        <v>7026</v>
      </c>
      <c r="T34" s="356">
        <f>T27+T28+T29+T30+T31+T32</f>
        <v>11355000000</v>
      </c>
      <c r="V34" s="356">
        <f>T34*V36/T36</f>
        <v>7777397.2602739725</v>
      </c>
    </row>
    <row r="35" spans="1:22" ht="18.75">
      <c r="A35" s="543" t="s">
        <v>7011</v>
      </c>
      <c r="B35" s="543">
        <v>1.0081648460518999</v>
      </c>
      <c r="G35" s="354"/>
      <c r="H35" s="354"/>
      <c r="I35" s="354"/>
      <c r="J35" s="354"/>
      <c r="K35" s="354"/>
      <c r="L35" s="545"/>
    </row>
    <row r="36" spans="1:22" ht="21">
      <c r="A36" s="357" t="s">
        <v>6949</v>
      </c>
      <c r="B36" s="503">
        <f>B34</f>
        <v>137</v>
      </c>
      <c r="G36" s="5">
        <f>SUM(G30:G34)</f>
        <v>8</v>
      </c>
      <c r="H36" s="5">
        <f>SUM(H30:H34)</f>
        <v>0</v>
      </c>
      <c r="I36" s="5">
        <f>SUM(I30:I34)</f>
        <v>0</v>
      </c>
      <c r="J36" s="5">
        <f>SUM(J30:J34)</f>
        <v>0</v>
      </c>
      <c r="K36" s="5">
        <f>SUM(K30:K34)</f>
        <v>0</v>
      </c>
      <c r="L36" s="545"/>
      <c r="T36" s="356">
        <v>365000000</v>
      </c>
      <c r="V36" s="356">
        <v>250000</v>
      </c>
    </row>
    <row r="37" spans="1:22" ht="21">
      <c r="A37" s="357" t="s">
        <v>6950</v>
      </c>
      <c r="B37" s="503">
        <f>B36*$B$35</f>
        <v>138.1185839091103</v>
      </c>
      <c r="L37" s="545"/>
    </row>
    <row r="38" spans="1:22" ht="21">
      <c r="A38" s="357" t="s">
        <v>6951</v>
      </c>
      <c r="B38" s="503">
        <f t="shared" ref="B38:B97" si="30">B37*$B$35</f>
        <v>139.2463008836346</v>
      </c>
      <c r="L38" s="545"/>
      <c r="P38" s="401" t="s">
        <v>61</v>
      </c>
    </row>
    <row r="39" spans="1:22" ht="21">
      <c r="A39" s="357" t="s">
        <v>6952</v>
      </c>
      <c r="B39" s="503">
        <f t="shared" si="30"/>
        <v>140.38322549364602</v>
      </c>
    </row>
    <row r="40" spans="1:22" ht="21">
      <c r="A40" s="539" t="s">
        <v>6953</v>
      </c>
      <c r="B40" s="503">
        <f t="shared" si="30"/>
        <v>141.5294329180708</v>
      </c>
    </row>
    <row r="41" spans="1:22" ht="21">
      <c r="A41" s="539" t="s">
        <v>6954</v>
      </c>
      <c r="B41" s="503">
        <f t="shared" si="30"/>
        <v>142.68499894965953</v>
      </c>
    </row>
    <row r="42" spans="1:22" ht="21">
      <c r="A42" s="540" t="s">
        <v>6955</v>
      </c>
      <c r="B42" s="503">
        <f t="shared" si="30"/>
        <v>143.849999999999</v>
      </c>
      <c r="C42">
        <f>100*(B42-$B$34)/$B$34</f>
        <v>4.9999999999992699</v>
      </c>
      <c r="E42" s="332" t="s">
        <v>4378</v>
      </c>
      <c r="F42" s="332">
        <v>3010</v>
      </c>
      <c r="G42" s="332">
        <v>3011</v>
      </c>
      <c r="H42" s="332">
        <v>3012</v>
      </c>
    </row>
    <row r="43" spans="1:22" ht="21">
      <c r="A43" s="542" t="s">
        <v>6956</v>
      </c>
      <c r="B43" s="503">
        <f t="shared" si="30"/>
        <v>145.02451310456479</v>
      </c>
      <c r="E43" s="332" t="s">
        <v>6883</v>
      </c>
      <c r="F43" s="347">
        <v>160</v>
      </c>
      <c r="G43" s="347">
        <v>170</v>
      </c>
      <c r="H43" s="347">
        <v>180</v>
      </c>
    </row>
    <row r="44" spans="1:22" ht="21">
      <c r="A44" s="539" t="s">
        <v>6957</v>
      </c>
      <c r="B44" s="503">
        <f t="shared" si="30"/>
        <v>146.20861592781532</v>
      </c>
      <c r="E44" s="332" t="s">
        <v>6940</v>
      </c>
      <c r="F44" s="347">
        <v>10</v>
      </c>
      <c r="G44" s="347">
        <v>5</v>
      </c>
      <c r="H44" s="347">
        <v>2</v>
      </c>
    </row>
    <row r="45" spans="1:22" ht="21">
      <c r="A45" s="539" t="s">
        <v>6958</v>
      </c>
      <c r="B45" s="503">
        <f t="shared" si="30"/>
        <v>147.40238676832729</v>
      </c>
      <c r="E45" s="332" t="s">
        <v>7012</v>
      </c>
      <c r="F45" s="347">
        <f>$B$34-F44</f>
        <v>127</v>
      </c>
      <c r="G45" s="347">
        <f t="shared" ref="G45:H45" si="31">$B$34-G44</f>
        <v>132</v>
      </c>
      <c r="H45" s="347">
        <f t="shared" si="31"/>
        <v>135</v>
      </c>
      <c r="I45" s="518"/>
    </row>
    <row r="46" spans="1:22" ht="21">
      <c r="A46" s="539" t="s">
        <v>6959</v>
      </c>
      <c r="B46" s="503">
        <f t="shared" si="30"/>
        <v>148.6059045639733</v>
      </c>
      <c r="E46" s="332" t="s">
        <v>7013</v>
      </c>
      <c r="F46" s="347">
        <f>IF(F43&gt;$B$42,$B$42,F43)</f>
        <v>143.849999999999</v>
      </c>
      <c r="G46" s="347">
        <f t="shared" ref="G46:H46" si="32">IF(G43&gt;$B$42,$B$42,G43)</f>
        <v>143.849999999999</v>
      </c>
      <c r="H46" s="347">
        <f t="shared" si="32"/>
        <v>143.849999999999</v>
      </c>
    </row>
    <row r="47" spans="1:22" ht="21">
      <c r="A47" s="539" t="s">
        <v>6960</v>
      </c>
      <c r="B47" s="503">
        <f t="shared" si="30"/>
        <v>149.81924889714148</v>
      </c>
      <c r="E47" s="541" t="s">
        <v>840</v>
      </c>
      <c r="F47" s="332">
        <f>100*(F46-F45)/F45</f>
        <v>13.267716535432283</v>
      </c>
      <c r="G47" s="514">
        <f t="shared" ref="G47:H47" si="33">100*(G46-G45)/G45</f>
        <v>8.9772727272719699</v>
      </c>
      <c r="H47" s="332">
        <f t="shared" si="33"/>
        <v>6.5555555555548146</v>
      </c>
    </row>
    <row r="48" spans="1:22" ht="21">
      <c r="A48" s="540" t="s">
        <v>6961</v>
      </c>
      <c r="B48" s="503">
        <f t="shared" si="30"/>
        <v>151.04249999999791</v>
      </c>
      <c r="C48">
        <f>100*(B48-$B$34)/$B$34</f>
        <v>10.249999999998478</v>
      </c>
    </row>
    <row r="49" spans="1:10" ht="21">
      <c r="A49" s="539" t="s">
        <v>6962</v>
      </c>
      <c r="B49" s="503">
        <f t="shared" si="30"/>
        <v>152.27573875979201</v>
      </c>
      <c r="E49" s="332" t="s">
        <v>4378</v>
      </c>
      <c r="F49" s="332">
        <v>4007</v>
      </c>
      <c r="G49" s="332">
        <v>4008</v>
      </c>
      <c r="H49" s="332">
        <v>4009</v>
      </c>
      <c r="I49" s="332">
        <v>4010</v>
      </c>
      <c r="J49" s="332">
        <v>4011</v>
      </c>
    </row>
    <row r="50" spans="1:10" ht="21">
      <c r="A50" s="539" t="s">
        <v>6963</v>
      </c>
      <c r="B50" s="503">
        <f t="shared" si="30"/>
        <v>153.51904672420503</v>
      </c>
      <c r="E50" s="332" t="s">
        <v>6883</v>
      </c>
      <c r="F50" s="332">
        <v>160</v>
      </c>
      <c r="G50" s="332">
        <v>170</v>
      </c>
      <c r="H50" s="332">
        <v>180</v>
      </c>
      <c r="I50" s="332">
        <v>190</v>
      </c>
      <c r="J50" s="332">
        <v>200</v>
      </c>
    </row>
    <row r="51" spans="1:10" ht="21">
      <c r="A51" s="539" t="s">
        <v>6964</v>
      </c>
      <c r="B51" s="503">
        <f t="shared" si="30"/>
        <v>154.77250610674258</v>
      </c>
      <c r="E51" s="332" t="s">
        <v>6940</v>
      </c>
      <c r="F51" s="332">
        <v>23</v>
      </c>
      <c r="G51" s="332">
        <v>18.5</v>
      </c>
      <c r="H51" s="332">
        <v>15</v>
      </c>
      <c r="I51" s="332">
        <v>12</v>
      </c>
      <c r="J51" s="332">
        <v>12.6</v>
      </c>
    </row>
    <row r="52" spans="1:10" ht="21">
      <c r="A52" s="539" t="s">
        <v>6965</v>
      </c>
      <c r="B52" s="503">
        <f t="shared" si="30"/>
        <v>156.03619979217089</v>
      </c>
      <c r="E52" s="332" t="s">
        <v>7012</v>
      </c>
      <c r="F52" s="347">
        <f>$B$34-F51</f>
        <v>114</v>
      </c>
      <c r="G52" s="347">
        <f t="shared" ref="G52:J52" si="34">$B$34-G51</f>
        <v>118.5</v>
      </c>
      <c r="H52" s="347">
        <f t="shared" si="34"/>
        <v>122</v>
      </c>
      <c r="I52" s="347">
        <f t="shared" si="34"/>
        <v>125</v>
      </c>
      <c r="J52" s="347">
        <f t="shared" si="34"/>
        <v>124.4</v>
      </c>
    </row>
    <row r="53" spans="1:10" ht="21">
      <c r="A53" s="539" t="s">
        <v>6966</v>
      </c>
      <c r="B53" s="503">
        <f t="shared" si="30"/>
        <v>157.31021134199747</v>
      </c>
      <c r="E53" s="332" t="s">
        <v>7013</v>
      </c>
      <c r="F53" s="347">
        <f>IF(F50&gt;$B$48,$B$48,F50)</f>
        <v>151.04249999999791</v>
      </c>
      <c r="G53" s="347">
        <f t="shared" ref="G53:J53" si="35">IF(G50&gt;$B$48,$B$48,G50)</f>
        <v>151.04249999999791</v>
      </c>
      <c r="H53" s="347">
        <f t="shared" si="35"/>
        <v>151.04249999999791</v>
      </c>
      <c r="I53" s="347">
        <f t="shared" si="35"/>
        <v>151.04249999999791</v>
      </c>
      <c r="J53" s="347">
        <f t="shared" si="35"/>
        <v>151.04249999999791</v>
      </c>
    </row>
    <row r="54" spans="1:10" ht="21">
      <c r="A54" s="539" t="s">
        <v>6967</v>
      </c>
      <c r="B54" s="503">
        <f t="shared" si="30"/>
        <v>158.59462499999671</v>
      </c>
      <c r="E54" s="541" t="s">
        <v>840</v>
      </c>
      <c r="F54" s="332">
        <f t="shared" ref="F54:J54" si="36">100*(F53-F52)/F52</f>
        <v>32.493421052629749</v>
      </c>
      <c r="G54" s="332">
        <f t="shared" si="36"/>
        <v>27.462025316453939</v>
      </c>
      <c r="H54" s="332">
        <f t="shared" si="36"/>
        <v>23.805327868850753</v>
      </c>
      <c r="I54" s="514">
        <f t="shared" si="36"/>
        <v>20.833999999998333</v>
      </c>
      <c r="J54" s="514">
        <f t="shared" si="36"/>
        <v>21.416800643085136</v>
      </c>
    </row>
    <row r="55" spans="1:10" ht="21">
      <c r="A55" s="539" t="s">
        <v>6968</v>
      </c>
      <c r="B55" s="503">
        <f t="shared" si="30"/>
        <v>159.88952569778047</v>
      </c>
    </row>
    <row r="56" spans="1:10" ht="21">
      <c r="A56" s="539" t="s">
        <v>6969</v>
      </c>
      <c r="B56" s="503">
        <f t="shared" si="30"/>
        <v>161.19499906041415</v>
      </c>
    </row>
    <row r="57" spans="1:10" ht="21">
      <c r="A57" s="539" t="s">
        <v>6970</v>
      </c>
      <c r="B57" s="503">
        <f t="shared" si="30"/>
        <v>162.51113141207858</v>
      </c>
    </row>
    <row r="58" spans="1:10" ht="21">
      <c r="A58" s="539" t="s">
        <v>6971</v>
      </c>
      <c r="B58" s="503">
        <f t="shared" si="30"/>
        <v>163.83800978177828</v>
      </c>
    </row>
    <row r="59" spans="1:10" ht="21">
      <c r="A59" s="540" t="s">
        <v>6972</v>
      </c>
      <c r="B59" s="503">
        <f t="shared" si="30"/>
        <v>165.17572190909618</v>
      </c>
      <c r="C59">
        <f>100*(B59-$B$34)/$B$34</f>
        <v>20.566220371603052</v>
      </c>
      <c r="E59" s="332" t="s">
        <v>4378</v>
      </c>
      <c r="F59" s="332">
        <v>6011</v>
      </c>
      <c r="G59" s="332">
        <v>6012</v>
      </c>
      <c r="H59" s="332">
        <v>6013</v>
      </c>
      <c r="I59" s="332">
        <v>6014</v>
      </c>
    </row>
    <row r="60" spans="1:10" ht="21">
      <c r="A60" s="539" t="s">
        <v>6973</v>
      </c>
      <c r="B60" s="503">
        <f t="shared" si="30"/>
        <v>166.52435624999538</v>
      </c>
      <c r="E60" s="332" t="s">
        <v>6883</v>
      </c>
      <c r="F60" s="332">
        <v>150</v>
      </c>
      <c r="G60" s="332">
        <v>160</v>
      </c>
      <c r="H60" s="332">
        <v>170</v>
      </c>
      <c r="I60" s="332">
        <v>180</v>
      </c>
    </row>
    <row r="61" spans="1:10" ht="21">
      <c r="A61" s="539" t="s">
        <v>6974</v>
      </c>
      <c r="B61" s="503">
        <f t="shared" si="30"/>
        <v>167.88400198266834</v>
      </c>
      <c r="E61" s="332" t="s">
        <v>6940</v>
      </c>
      <c r="F61" s="332">
        <v>40</v>
      </c>
      <c r="G61" s="332">
        <v>39</v>
      </c>
      <c r="H61" s="332">
        <v>29</v>
      </c>
      <c r="I61" s="332">
        <v>35</v>
      </c>
    </row>
    <row r="62" spans="1:10" ht="21">
      <c r="A62" s="539" t="s">
        <v>6975</v>
      </c>
      <c r="B62" s="503">
        <f t="shared" si="30"/>
        <v>169.2547490134337</v>
      </c>
      <c r="E62" s="332" t="s">
        <v>7012</v>
      </c>
      <c r="F62" s="347">
        <f>$B$34-F61</f>
        <v>97</v>
      </c>
      <c r="G62" s="347">
        <f t="shared" ref="G62" si="37">$B$34-G61</f>
        <v>98</v>
      </c>
      <c r="H62" s="347">
        <f t="shared" ref="H62" si="38">$B$34-H61</f>
        <v>108</v>
      </c>
      <c r="I62" s="347">
        <f t="shared" ref="I62" si="39">$B$34-I61</f>
        <v>102</v>
      </c>
    </row>
    <row r="63" spans="1:10" ht="21">
      <c r="A63" s="539" t="s">
        <v>6976</v>
      </c>
      <c r="B63" s="503">
        <f t="shared" si="30"/>
        <v>170.63668798268134</v>
      </c>
      <c r="E63" s="332" t="s">
        <v>7013</v>
      </c>
      <c r="F63" s="347">
        <f>IF(F60&gt;$B$59,$B$59,F60)</f>
        <v>150</v>
      </c>
      <c r="G63" s="347">
        <f t="shared" ref="G63:I63" si="40">IF(G60&gt;$B$59,$B$59,G60)</f>
        <v>160</v>
      </c>
      <c r="H63" s="347">
        <f t="shared" si="40"/>
        <v>165.17572190909618</v>
      </c>
      <c r="I63" s="347">
        <f t="shared" si="40"/>
        <v>165.17572190909618</v>
      </c>
    </row>
    <row r="64" spans="1:10" ht="21">
      <c r="A64" s="539" t="s">
        <v>6977</v>
      </c>
      <c r="B64" s="503">
        <f t="shared" si="30"/>
        <v>172.02991027086603</v>
      </c>
      <c r="E64" s="541" t="s">
        <v>840</v>
      </c>
      <c r="F64" s="332">
        <f t="shared" ref="F64" si="41">100*(F63-F62)/F62</f>
        <v>54.639175257731956</v>
      </c>
      <c r="G64" s="332">
        <f t="shared" ref="G64" si="42">100*(G63-G62)/G62</f>
        <v>63.265306122448976</v>
      </c>
      <c r="H64" s="332">
        <f t="shared" ref="H64" si="43">100*(H63-H62)/H62</f>
        <v>52.94048324916313</v>
      </c>
      <c r="I64" s="514">
        <f t="shared" ref="I64" si="44">100*(I63-I62)/I62</f>
        <v>61.936982263819786</v>
      </c>
    </row>
    <row r="65" spans="1:2" ht="21">
      <c r="A65" s="539" t="s">
        <v>6978</v>
      </c>
      <c r="B65" s="503">
        <f t="shared" si="30"/>
        <v>173.4345080045498</v>
      </c>
    </row>
    <row r="66" spans="1:2" ht="21">
      <c r="A66" s="539" t="s">
        <v>6979</v>
      </c>
      <c r="B66" s="503">
        <f t="shared" si="30"/>
        <v>174.85057406249396</v>
      </c>
    </row>
    <row r="67" spans="1:2" ht="21">
      <c r="A67" s="539" t="s">
        <v>6980</v>
      </c>
      <c r="B67" s="503">
        <f t="shared" si="30"/>
        <v>176.27820208180054</v>
      </c>
    </row>
    <row r="68" spans="1:2" ht="21">
      <c r="A68" s="539" t="s">
        <v>6981</v>
      </c>
      <c r="B68" s="503">
        <f t="shared" si="30"/>
        <v>177.71748646410416</v>
      </c>
    </row>
    <row r="69" spans="1:2" ht="21">
      <c r="A69" s="539" t="s">
        <v>6982</v>
      </c>
      <c r="B69" s="503">
        <f t="shared" si="30"/>
        <v>179.16852238181417</v>
      </c>
    </row>
    <row r="70" spans="1:2" ht="21">
      <c r="A70" s="539" t="s">
        <v>6983</v>
      </c>
      <c r="B70" s="503">
        <f t="shared" si="30"/>
        <v>180.63140578440806</v>
      </c>
    </row>
    <row r="71" spans="1:2" ht="21">
      <c r="A71" s="539" t="s">
        <v>6984</v>
      </c>
      <c r="B71" s="503">
        <f t="shared" si="30"/>
        <v>182.10623340477602</v>
      </c>
    </row>
    <row r="72" spans="1:2" ht="21">
      <c r="A72" s="539" t="s">
        <v>6985</v>
      </c>
      <c r="B72" s="503">
        <f t="shared" si="30"/>
        <v>183.59310276561737</v>
      </c>
    </row>
    <row r="73" spans="1:2" ht="21">
      <c r="A73" s="539" t="s">
        <v>6986</v>
      </c>
      <c r="B73" s="503">
        <f t="shared" si="30"/>
        <v>185.09211218588928</v>
      </c>
    </row>
    <row r="74" spans="1:2" ht="21">
      <c r="A74" s="539" t="s">
        <v>6987</v>
      </c>
      <c r="B74" s="503">
        <f t="shared" si="30"/>
        <v>186.60336078730805</v>
      </c>
    </row>
    <row r="75" spans="1:2" ht="21">
      <c r="A75" s="539" t="s">
        <v>6988</v>
      </c>
      <c r="B75" s="503">
        <f t="shared" si="30"/>
        <v>188.12694850090355</v>
      </c>
    </row>
    <row r="76" spans="1:2" ht="21">
      <c r="A76" s="539" t="s">
        <v>6989</v>
      </c>
      <c r="B76" s="503">
        <f t="shared" si="30"/>
        <v>189.66297607362714</v>
      </c>
    </row>
    <row r="77" spans="1:2" ht="21">
      <c r="A77" s="539" t="s">
        <v>6990</v>
      </c>
      <c r="B77" s="503">
        <f t="shared" si="30"/>
        <v>191.21154507501348</v>
      </c>
    </row>
    <row r="78" spans="1:2" ht="21">
      <c r="A78" s="539" t="s">
        <v>6991</v>
      </c>
      <c r="B78" s="503">
        <f t="shared" si="30"/>
        <v>192.77275790389689</v>
      </c>
    </row>
    <row r="79" spans="1:2" ht="21">
      <c r="A79" s="539" t="s">
        <v>6992</v>
      </c>
      <c r="B79" s="503">
        <f t="shared" si="30"/>
        <v>194.34671779518237</v>
      </c>
    </row>
    <row r="80" spans="1:2" ht="21">
      <c r="A80" s="539" t="s">
        <v>6993</v>
      </c>
      <c r="B80" s="503">
        <f t="shared" si="30"/>
        <v>195.93352882667207</v>
      </c>
    </row>
    <row r="81" spans="1:8" ht="21">
      <c r="A81" s="539" t="s">
        <v>6994</v>
      </c>
      <c r="B81" s="503">
        <f t="shared" si="30"/>
        <v>197.53329592594736</v>
      </c>
    </row>
    <row r="82" spans="1:8" ht="21">
      <c r="A82" s="539" t="s">
        <v>6995</v>
      </c>
      <c r="B82" s="503">
        <f t="shared" si="30"/>
        <v>199.1461248773071</v>
      </c>
    </row>
    <row r="83" spans="1:8" ht="21">
      <c r="A83" s="539" t="s">
        <v>6996</v>
      </c>
      <c r="B83" s="503">
        <f t="shared" si="30"/>
        <v>200.77212232876275</v>
      </c>
    </row>
    <row r="84" spans="1:8" ht="21">
      <c r="A84" s="539" t="s">
        <v>6997</v>
      </c>
      <c r="B84" s="503">
        <f t="shared" si="30"/>
        <v>202.41139579909031</v>
      </c>
    </row>
    <row r="85" spans="1:8" ht="21">
      <c r="A85" s="539" t="s">
        <v>6998</v>
      </c>
      <c r="B85" s="503">
        <f t="shared" si="30"/>
        <v>204.06405368494006</v>
      </c>
    </row>
    <row r="86" spans="1:8" ht="21">
      <c r="A86" s="539" t="s">
        <v>6999</v>
      </c>
      <c r="B86" s="503">
        <f t="shared" si="30"/>
        <v>205.73020526800426</v>
      </c>
    </row>
    <row r="87" spans="1:8" ht="21">
      <c r="A87" s="539" t="s">
        <v>7000</v>
      </c>
      <c r="B87" s="503">
        <f t="shared" si="30"/>
        <v>207.40996072224328</v>
      </c>
    </row>
    <row r="88" spans="1:8" ht="21">
      <c r="A88" s="539" t="s">
        <v>7001</v>
      </c>
      <c r="B88" s="503">
        <f t="shared" si="30"/>
        <v>209.10343112117101</v>
      </c>
    </row>
    <row r="89" spans="1:8" ht="21">
      <c r="A89" s="539" t="s">
        <v>7002</v>
      </c>
      <c r="B89" s="503">
        <f t="shared" si="30"/>
        <v>210.81072844519943</v>
      </c>
    </row>
    <row r="90" spans="1:8" ht="21">
      <c r="A90" s="539" t="s">
        <v>7003</v>
      </c>
      <c r="B90" s="503">
        <f t="shared" si="30"/>
        <v>212.53196558904335</v>
      </c>
    </row>
    <row r="91" spans="1:8" ht="21">
      <c r="A91" s="539" t="s">
        <v>7004</v>
      </c>
      <c r="B91" s="503">
        <f t="shared" si="30"/>
        <v>214.26725636918559</v>
      </c>
    </row>
    <row r="92" spans="1:8" ht="21">
      <c r="A92" s="539" t="s">
        <v>7005</v>
      </c>
      <c r="B92" s="503">
        <f t="shared" si="30"/>
        <v>216.01671553140295</v>
      </c>
    </row>
    <row r="93" spans="1:8" ht="21">
      <c r="A93" s="539" t="s">
        <v>7006</v>
      </c>
      <c r="B93" s="503">
        <f t="shared" si="30"/>
        <v>217.78045875835392</v>
      </c>
      <c r="F93" t="s">
        <v>25</v>
      </c>
    </row>
    <row r="94" spans="1:8" ht="21">
      <c r="A94" s="539" t="s">
        <v>7007</v>
      </c>
      <c r="B94" s="503">
        <f t="shared" si="30"/>
        <v>219.55860267722801</v>
      </c>
    </row>
    <row r="95" spans="1:8" ht="21">
      <c r="A95" s="539" t="s">
        <v>7008</v>
      </c>
      <c r="B95" s="503">
        <f t="shared" si="30"/>
        <v>221.35126486745784</v>
      </c>
    </row>
    <row r="96" spans="1:8" ht="21">
      <c r="A96" s="540" t="s">
        <v>7009</v>
      </c>
      <c r="B96" s="503">
        <f t="shared" si="30"/>
        <v>223.15856386849396</v>
      </c>
      <c r="C96">
        <f>100*(B96-$B$34)/$B$34</f>
        <v>62.889462677732809</v>
      </c>
      <c r="E96" s="332" t="s">
        <v>4378</v>
      </c>
      <c r="F96" s="332">
        <v>1218</v>
      </c>
      <c r="G96" s="332">
        <v>1219</v>
      </c>
      <c r="H96" s="332">
        <v>1220</v>
      </c>
    </row>
    <row r="97" spans="1:8" ht="21">
      <c r="A97" s="542" t="s">
        <v>7010</v>
      </c>
      <c r="B97" s="503">
        <f t="shared" si="30"/>
        <v>224.9806191876433</v>
      </c>
      <c r="E97" s="332" t="s">
        <v>6883</v>
      </c>
      <c r="F97" s="332">
        <v>160</v>
      </c>
      <c r="G97" s="332">
        <v>170</v>
      </c>
      <c r="H97" s="332">
        <v>180</v>
      </c>
    </row>
    <row r="98" spans="1:8">
      <c r="A98" s="29"/>
      <c r="E98" s="332" t="s">
        <v>6940</v>
      </c>
      <c r="F98" s="332">
        <v>65</v>
      </c>
      <c r="G98" s="332">
        <v>58</v>
      </c>
      <c r="H98" s="332">
        <v>50</v>
      </c>
    </row>
    <row r="99" spans="1:8">
      <c r="A99" s="29"/>
      <c r="E99" s="332" t="s">
        <v>7012</v>
      </c>
      <c r="F99" s="347">
        <f>$B$34-F98</f>
        <v>72</v>
      </c>
      <c r="G99" s="347">
        <f t="shared" ref="G99" si="45">$B$34-G98</f>
        <v>79</v>
      </c>
      <c r="H99" s="347">
        <f t="shared" ref="H99" si="46">$B$34-H98</f>
        <v>87</v>
      </c>
    </row>
    <row r="100" spans="1:8">
      <c r="A100" s="29"/>
      <c r="E100" s="332" t="s">
        <v>7013</v>
      </c>
      <c r="F100" s="347">
        <f>IF(F97&gt;$B$96,$B$96,F97)</f>
        <v>160</v>
      </c>
      <c r="G100" s="347">
        <f t="shared" ref="G100:H100" si="47">IF(G97&gt;$B$96,$B$96,G97)</f>
        <v>170</v>
      </c>
      <c r="H100" s="347">
        <f t="shared" si="47"/>
        <v>180</v>
      </c>
    </row>
    <row r="101" spans="1:8">
      <c r="A101" s="29"/>
      <c r="E101" s="541" t="s">
        <v>840</v>
      </c>
      <c r="F101" s="514">
        <f t="shared" ref="F101" si="48">100*(F100-F99)/F99</f>
        <v>122.22222222222223</v>
      </c>
      <c r="G101" s="514">
        <f t="shared" ref="G101" si="49">100*(G100-G99)/G99</f>
        <v>115.18987341772151</v>
      </c>
      <c r="H101" s="332">
        <f t="shared" ref="H101" si="50">100*(H100-H99)/H99</f>
        <v>106.89655172413794</v>
      </c>
    </row>
    <row r="102" spans="1:8">
      <c r="A102" s="29"/>
    </row>
    <row r="103" spans="1:8">
      <c r="A103" s="29"/>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6" customWidth="1"/>
    <col min="2" max="2" width="9.85546875" style="456" customWidth="1"/>
    <col min="3" max="4" width="16.85546875" style="456" bestFit="1" customWidth="1"/>
    <col min="5" max="5" width="16.42578125" style="456" bestFit="1" customWidth="1"/>
    <col min="6" max="6" width="13.5703125" style="456" bestFit="1" customWidth="1"/>
    <col min="7" max="7" width="12.85546875" style="456" bestFit="1" customWidth="1"/>
    <col min="8" max="8" width="10.7109375" style="456" customWidth="1"/>
    <col min="9" max="9" width="11.28515625" style="456" bestFit="1" customWidth="1"/>
    <col min="10" max="10" width="11.28515625" style="456" customWidth="1"/>
    <col min="11" max="11" width="8.85546875" style="456" customWidth="1"/>
    <col min="12" max="17" width="11.28515625" style="456" customWidth="1"/>
    <col min="18" max="18" width="9.7109375" style="456" customWidth="1"/>
    <col min="19" max="19" width="11.28515625" style="456" customWidth="1"/>
    <col min="20" max="20" width="8.85546875" style="456" bestFit="1" customWidth="1"/>
    <col min="21" max="21" width="11.28515625" style="456" bestFit="1" customWidth="1"/>
    <col min="22" max="23" width="10.42578125" style="456" bestFit="1" customWidth="1"/>
    <col min="24" max="24" width="10.85546875" style="456" customWidth="1"/>
    <col min="25" max="32" width="10.42578125" style="456" bestFit="1" customWidth="1"/>
    <col min="33" max="16384" width="9.140625" style="456"/>
  </cols>
  <sheetData>
    <row r="1" spans="1:34" ht="105">
      <c r="A1" s="404" t="s">
        <v>6889</v>
      </c>
      <c r="B1" s="404" t="s">
        <v>6884</v>
      </c>
      <c r="C1" s="404" t="s">
        <v>6883</v>
      </c>
      <c r="D1" s="431" t="s">
        <v>6886</v>
      </c>
      <c r="E1" s="432" t="s">
        <v>840</v>
      </c>
      <c r="F1" s="404" t="s">
        <v>190</v>
      </c>
      <c r="G1" s="432" t="s">
        <v>1046</v>
      </c>
      <c r="H1" s="431" t="s">
        <v>6887</v>
      </c>
      <c r="I1" s="404">
        <v>15000</v>
      </c>
      <c r="J1" s="432"/>
      <c r="K1" s="404">
        <v>700</v>
      </c>
      <c r="L1" s="404"/>
      <c r="M1" s="404">
        <v>800</v>
      </c>
      <c r="N1" s="404"/>
      <c r="O1" s="404">
        <v>900</v>
      </c>
      <c r="P1" s="404"/>
      <c r="Q1" s="404">
        <v>1000</v>
      </c>
      <c r="R1" s="404"/>
      <c r="S1" s="404">
        <v>1100</v>
      </c>
      <c r="T1" s="404"/>
      <c r="U1" s="404">
        <v>1200</v>
      </c>
      <c r="V1" s="404"/>
      <c r="W1" s="404">
        <v>1300</v>
      </c>
      <c r="X1" s="404"/>
      <c r="Y1" s="404">
        <v>1400</v>
      </c>
      <c r="Z1" s="404"/>
      <c r="AA1" s="404">
        <v>1500</v>
      </c>
      <c r="AB1" s="404"/>
      <c r="AC1" s="404">
        <v>1600</v>
      </c>
      <c r="AD1" s="404"/>
      <c r="AE1" s="404">
        <v>1700</v>
      </c>
      <c r="AF1" s="11"/>
    </row>
    <row r="2" spans="1:34" ht="21">
      <c r="A2" s="405">
        <f>(B2/$B$13)+(B2*B2)/($B$13*$B$13)+(B2*B2*B2)/($B$13*$B$13*$B$13)</f>
        <v>0.90500828646795672</v>
      </c>
      <c r="B2" s="405">
        <v>9100</v>
      </c>
      <c r="C2" s="406">
        <v>9000</v>
      </c>
      <c r="D2" s="405">
        <f t="shared" ref="D2:D12" si="0">C2+B2</f>
        <v>18100</v>
      </c>
      <c r="E2" s="447">
        <f t="shared" ref="E2:E12" si="1">D2-$B$13</f>
        <v>285</v>
      </c>
      <c r="F2" s="407">
        <f t="shared" ref="F2:F12" si="2">E2/$B$13</f>
        <v>1.5997754701094585E-2</v>
      </c>
      <c r="G2" s="437">
        <v>216</v>
      </c>
      <c r="H2" s="405">
        <f>B2-G2</f>
        <v>8884</v>
      </c>
      <c r="I2" s="436">
        <f>B2+$I$1</f>
        <v>24100</v>
      </c>
      <c r="J2" s="433">
        <f>(1+A2)*(I2-$B$13)/$B$13</f>
        <v>0.67207280833292782</v>
      </c>
      <c r="K2" s="436">
        <f>B2+$K$1</f>
        <v>9800</v>
      </c>
      <c r="L2" s="433">
        <f>(1+A2)*(K2-$B$13)/$B$13</f>
        <v>-0.8570665964659373</v>
      </c>
      <c r="M2" s="437">
        <f t="shared" ref="M2:AC11" si="3">$D2</f>
        <v>18100</v>
      </c>
      <c r="N2" s="433">
        <f>(1+A2)*(M2-$B$13)/$B$13</f>
        <v>3.0475855270466892E-2</v>
      </c>
      <c r="O2" s="437">
        <f t="shared" si="3"/>
        <v>18100</v>
      </c>
      <c r="P2" s="433">
        <f>(1+A2)*(O2-$B$13)/$B$13</f>
        <v>3.0475855270466892E-2</v>
      </c>
      <c r="Q2" s="437">
        <f t="shared" si="3"/>
        <v>18100</v>
      </c>
      <c r="R2" s="433">
        <f>(1+A2)*(Q2-$B$13)/$B$13</f>
        <v>3.0475855270466892E-2</v>
      </c>
      <c r="S2" s="437">
        <f t="shared" si="3"/>
        <v>18100</v>
      </c>
      <c r="T2" s="433">
        <f>(1+A2)*(S2-$B$13)/$B$13</f>
        <v>3.0475855270466892E-2</v>
      </c>
      <c r="U2" s="437">
        <f t="shared" si="3"/>
        <v>18100</v>
      </c>
      <c r="V2" s="433">
        <f>(1+A2)*(U2-$B$13)/$B$13</f>
        <v>3.0475855270466892E-2</v>
      </c>
      <c r="W2" s="437">
        <f t="shared" si="3"/>
        <v>18100</v>
      </c>
      <c r="X2" s="433">
        <f>(1+A2)*(W2-$B$13)/$B$13</f>
        <v>3.0475855270466892E-2</v>
      </c>
      <c r="Y2" s="437">
        <f t="shared" si="3"/>
        <v>18100</v>
      </c>
      <c r="Z2" s="433">
        <f>(1+A2)*(Y2-$B$13)/$B$13</f>
        <v>3.0475855270466892E-2</v>
      </c>
      <c r="AA2" s="437">
        <f t="shared" si="3"/>
        <v>18100</v>
      </c>
      <c r="AB2" s="433">
        <f>(1+A2)*(AA2-$B$13)/$B$13</f>
        <v>3.0475855270466892E-2</v>
      </c>
      <c r="AC2" s="437">
        <f t="shared" si="3"/>
        <v>18100</v>
      </c>
      <c r="AD2" s="433">
        <f>(1+A2)*(AC2-$B$13)/$B$13</f>
        <v>3.0475855270466892E-2</v>
      </c>
      <c r="AE2" s="437">
        <f>$D2</f>
        <v>18100</v>
      </c>
      <c r="AF2" s="433">
        <f>(1+A2)*(AE2-$B$13)/$B$13</f>
        <v>3.0475855270466892E-2</v>
      </c>
    </row>
    <row r="3" spans="1:34" ht="21">
      <c r="A3" s="405">
        <f t="shared" ref="A3:A12" si="4">(B3/$B$13)+(B3*B3)/($B$13*$B$13)+(B3*B3*B3)/($B$13*$B$13*$B$13)</f>
        <v>1.0532754278814531</v>
      </c>
      <c r="B3" s="403">
        <v>10000</v>
      </c>
      <c r="C3" s="408">
        <v>10000</v>
      </c>
      <c r="D3" s="403">
        <f t="shared" si="0"/>
        <v>20000</v>
      </c>
      <c r="E3" s="448">
        <f t="shared" si="1"/>
        <v>2185</v>
      </c>
      <c r="F3" s="409">
        <f t="shared" si="2"/>
        <v>0.12264945270839181</v>
      </c>
      <c r="G3" s="442">
        <v>216</v>
      </c>
      <c r="H3" s="403">
        <f t="shared" ref="H3:H12" si="5">B3-G3</f>
        <v>9784</v>
      </c>
      <c r="I3" s="436">
        <f t="shared" ref="I3:I12" si="6">B3+$I$1</f>
        <v>25000</v>
      </c>
      <c r="J3" s="433">
        <f t="shared" ref="J3:J12" si="7">(1+A3)*(I3-$B$13)/$B$13</f>
        <v>0.82811024133192479</v>
      </c>
      <c r="K3" s="436">
        <f t="shared" ref="K3:K12" si="8">B3+$K$1</f>
        <v>10700</v>
      </c>
      <c r="L3" s="433">
        <f t="shared" ref="L3:L12" si="9">(1+A3)*(K3-$B$13)/$B$13</f>
        <v>-0.82004236145812737</v>
      </c>
      <c r="M3" s="437">
        <f t="shared" si="3"/>
        <v>20000</v>
      </c>
      <c r="N3" s="433">
        <f t="shared" ref="N3:N12" si="10">(1+A3)*(M3-$B$13)/$B$13</f>
        <v>0.25183310748924925</v>
      </c>
      <c r="O3" s="437">
        <f t="shared" si="3"/>
        <v>20000</v>
      </c>
      <c r="P3" s="433">
        <f t="shared" ref="P3:P12" si="11">(1+A3)*(O3-$B$13)/$B$13</f>
        <v>0.25183310748924925</v>
      </c>
      <c r="Q3" s="437">
        <f t="shared" si="3"/>
        <v>20000</v>
      </c>
      <c r="R3" s="433">
        <f t="shared" ref="R3:R12" si="12">(1+A3)*(Q3-$B$13)/$B$13</f>
        <v>0.25183310748924925</v>
      </c>
      <c r="S3" s="437">
        <f t="shared" si="3"/>
        <v>20000</v>
      </c>
      <c r="T3" s="433">
        <f t="shared" ref="T3:T12" si="13">(1+A3)*(S3-$B$13)/$B$13</f>
        <v>0.25183310748924925</v>
      </c>
      <c r="U3" s="437">
        <f t="shared" si="3"/>
        <v>20000</v>
      </c>
      <c r="V3" s="433">
        <f t="shared" ref="V3:V12" si="14">(1+A3)*(U3-$B$13)/$B$13</f>
        <v>0.25183310748924925</v>
      </c>
      <c r="W3" s="437">
        <f t="shared" si="3"/>
        <v>20000</v>
      </c>
      <c r="X3" s="433">
        <f t="shared" ref="X3:X12" si="15">(1+A3)*(W3-$B$13)/$B$13</f>
        <v>0.25183310748924925</v>
      </c>
      <c r="Y3" s="437">
        <f t="shared" si="3"/>
        <v>20000</v>
      </c>
      <c r="Z3" s="433">
        <f t="shared" ref="Z3:Z12" si="16">(1+A3)*(Y3-$B$13)/$B$13</f>
        <v>0.25183310748924925</v>
      </c>
      <c r="AA3" s="437">
        <f t="shared" si="3"/>
        <v>20000</v>
      </c>
      <c r="AB3" s="433">
        <f t="shared" ref="AB3:AB12" si="17">(1+A3)*(AA3-$B$13)/$B$13</f>
        <v>0.25183310748924925</v>
      </c>
      <c r="AC3" s="437">
        <f t="shared" si="3"/>
        <v>20000</v>
      </c>
      <c r="AD3" s="433">
        <f t="shared" ref="AD3:AD12" si="18">(1+A3)*(AC3-$B$13)/$B$13</f>
        <v>0.25183310748924925</v>
      </c>
      <c r="AE3" s="437">
        <f t="shared" ref="AE3:AE12" si="19">$D3</f>
        <v>20000</v>
      </c>
      <c r="AF3" s="433">
        <f t="shared" ref="AF3:AF12" si="20">(1+A3)*(AE3-$B$13)/$B$13</f>
        <v>0.25183310748924925</v>
      </c>
    </row>
    <row r="4" spans="1:34" ht="21">
      <c r="A4" s="405">
        <f t="shared" si="4"/>
        <v>1.0532754278814531</v>
      </c>
      <c r="B4" s="402">
        <v>10000</v>
      </c>
      <c r="C4" s="416">
        <v>11000</v>
      </c>
      <c r="D4" s="402">
        <f t="shared" si="0"/>
        <v>21000</v>
      </c>
      <c r="E4" s="449">
        <f t="shared" si="1"/>
        <v>3185</v>
      </c>
      <c r="F4" s="417">
        <f t="shared" si="2"/>
        <v>0.1787819253438114</v>
      </c>
      <c r="G4" s="240">
        <v>216</v>
      </c>
      <c r="H4" s="402">
        <f t="shared" si="5"/>
        <v>9784</v>
      </c>
      <c r="I4" s="436">
        <f t="shared" si="6"/>
        <v>25000</v>
      </c>
      <c r="J4" s="433">
        <f t="shared" si="7"/>
        <v>0.82811024133192479</v>
      </c>
      <c r="K4" s="436">
        <f t="shared" si="8"/>
        <v>10700</v>
      </c>
      <c r="L4" s="433">
        <f t="shared" si="9"/>
        <v>-0.82004236145812737</v>
      </c>
      <c r="M4" s="436">
        <f>B4+$M$1</f>
        <v>10800</v>
      </c>
      <c r="N4" s="433">
        <f t="shared" si="10"/>
        <v>-0.8085168187812739</v>
      </c>
      <c r="O4" s="437">
        <f t="shared" si="3"/>
        <v>21000</v>
      </c>
      <c r="P4" s="433">
        <f t="shared" si="11"/>
        <v>0.36708853425778432</v>
      </c>
      <c r="Q4" s="437">
        <f t="shared" si="3"/>
        <v>21000</v>
      </c>
      <c r="R4" s="433">
        <f t="shared" si="12"/>
        <v>0.36708853425778432</v>
      </c>
      <c r="S4" s="437">
        <f t="shared" si="3"/>
        <v>21000</v>
      </c>
      <c r="T4" s="433">
        <f t="shared" si="13"/>
        <v>0.36708853425778432</v>
      </c>
      <c r="U4" s="437">
        <f t="shared" si="3"/>
        <v>21000</v>
      </c>
      <c r="V4" s="433">
        <f t="shared" si="14"/>
        <v>0.36708853425778432</v>
      </c>
      <c r="W4" s="437">
        <f t="shared" si="3"/>
        <v>21000</v>
      </c>
      <c r="X4" s="433">
        <f t="shared" si="15"/>
        <v>0.36708853425778432</v>
      </c>
      <c r="Y4" s="437">
        <f t="shared" si="3"/>
        <v>21000</v>
      </c>
      <c r="Z4" s="433">
        <f t="shared" si="16"/>
        <v>0.36708853425778432</v>
      </c>
      <c r="AA4" s="437">
        <f t="shared" si="3"/>
        <v>21000</v>
      </c>
      <c r="AB4" s="433">
        <f t="shared" si="17"/>
        <v>0.36708853425778432</v>
      </c>
      <c r="AC4" s="437">
        <f t="shared" si="3"/>
        <v>21000</v>
      </c>
      <c r="AD4" s="433">
        <f t="shared" si="18"/>
        <v>0.36708853425778432</v>
      </c>
      <c r="AE4" s="437">
        <f t="shared" si="19"/>
        <v>21000</v>
      </c>
      <c r="AF4" s="433">
        <f t="shared" si="20"/>
        <v>0.36708853425778432</v>
      </c>
    </row>
    <row r="5" spans="1:34" ht="21">
      <c r="A5" s="405">
        <f t="shared" si="4"/>
        <v>1.6547717493048168E-2</v>
      </c>
      <c r="B5" s="413">
        <v>290</v>
      </c>
      <c r="C5" s="414">
        <v>900</v>
      </c>
      <c r="D5" s="413">
        <f t="shared" si="0"/>
        <v>1190</v>
      </c>
      <c r="E5" s="450">
        <f t="shared" si="1"/>
        <v>-16625</v>
      </c>
      <c r="F5" s="415">
        <f t="shared" si="2"/>
        <v>-0.93320235756385073</v>
      </c>
      <c r="G5" s="443">
        <v>216</v>
      </c>
      <c r="H5" s="413">
        <f t="shared" si="5"/>
        <v>74</v>
      </c>
      <c r="I5" s="436">
        <f t="shared" si="6"/>
        <v>15290</v>
      </c>
      <c r="J5" s="433">
        <f t="shared" si="7"/>
        <v>-0.14407987576031134</v>
      </c>
      <c r="K5" s="436">
        <f>B5+$K$1</f>
        <v>990</v>
      </c>
      <c r="L5" s="433">
        <f t="shared" si="9"/>
        <v>-0.96005699392761923</v>
      </c>
      <c r="M5" s="436">
        <f t="shared" ref="M5:M12" si="21">B5+$M$1</f>
        <v>1090</v>
      </c>
      <c r="N5" s="433">
        <f t="shared" si="10"/>
        <v>-0.95435086023414151</v>
      </c>
      <c r="O5" s="436">
        <f>B5+$O$1</f>
        <v>1190</v>
      </c>
      <c r="P5" s="433">
        <f t="shared" si="11"/>
        <v>-0.9486447265406639</v>
      </c>
      <c r="Q5" s="437">
        <f t="shared" si="3"/>
        <v>1190</v>
      </c>
      <c r="R5" s="433">
        <f t="shared" si="12"/>
        <v>-0.9486447265406639</v>
      </c>
      <c r="S5" s="437">
        <f t="shared" si="3"/>
        <v>1190</v>
      </c>
      <c r="T5" s="433">
        <f t="shared" si="13"/>
        <v>-0.9486447265406639</v>
      </c>
      <c r="U5" s="437">
        <f t="shared" si="3"/>
        <v>1190</v>
      </c>
      <c r="V5" s="433">
        <f>(1+A5)*(U5-$B$13)/$B$13</f>
        <v>-0.9486447265406639</v>
      </c>
      <c r="W5" s="437">
        <f t="shared" si="3"/>
        <v>1190</v>
      </c>
      <c r="X5" s="433">
        <f t="shared" si="15"/>
        <v>-0.9486447265406639</v>
      </c>
      <c r="Y5" s="437">
        <f t="shared" si="3"/>
        <v>1190</v>
      </c>
      <c r="Z5" s="433">
        <f t="shared" si="16"/>
        <v>-0.9486447265406639</v>
      </c>
      <c r="AA5" s="437">
        <f t="shared" si="3"/>
        <v>1190</v>
      </c>
      <c r="AB5" s="433">
        <f t="shared" si="17"/>
        <v>-0.9486447265406639</v>
      </c>
      <c r="AC5" s="437">
        <f t="shared" si="3"/>
        <v>1190</v>
      </c>
      <c r="AD5" s="433">
        <f t="shared" si="18"/>
        <v>-0.9486447265406639</v>
      </c>
      <c r="AE5" s="437">
        <f t="shared" si="19"/>
        <v>1190</v>
      </c>
      <c r="AF5" s="433">
        <f t="shared" si="20"/>
        <v>-0.9486447265406639</v>
      </c>
    </row>
    <row r="6" spans="1:34" ht="21">
      <c r="A6" s="405">
        <f t="shared" si="4"/>
        <v>1.261863072868461E-2</v>
      </c>
      <c r="B6" s="410">
        <v>222</v>
      </c>
      <c r="C6" s="411">
        <v>1000</v>
      </c>
      <c r="D6" s="410">
        <f t="shared" si="0"/>
        <v>1222</v>
      </c>
      <c r="E6" s="451">
        <f t="shared" si="1"/>
        <v>-16593</v>
      </c>
      <c r="F6" s="412">
        <f t="shared" si="2"/>
        <v>-0.93140611843951726</v>
      </c>
      <c r="G6" s="238">
        <v>216</v>
      </c>
      <c r="H6" s="410">
        <f t="shared" si="5"/>
        <v>6</v>
      </c>
      <c r="I6" s="436">
        <f>B6+$I$1</f>
        <v>15222</v>
      </c>
      <c r="J6" s="433">
        <f t="shared" si="7"/>
        <v>-0.1473881621936278</v>
      </c>
      <c r="K6" s="436">
        <f t="shared" si="8"/>
        <v>922</v>
      </c>
      <c r="L6" s="433">
        <f t="shared" si="9"/>
        <v>-0.96021142458039122</v>
      </c>
      <c r="M6" s="436">
        <f t="shared" si="21"/>
        <v>1022</v>
      </c>
      <c r="N6" s="433">
        <f t="shared" si="10"/>
        <v>-0.95452734582244181</v>
      </c>
      <c r="O6" s="436">
        <f t="shared" ref="O6:O12" si="22">B6+$O$1</f>
        <v>1122</v>
      </c>
      <c r="P6" s="433">
        <f t="shared" si="11"/>
        <v>-0.94884326706449251</v>
      </c>
      <c r="Q6" s="436">
        <f>B6+$Q$1</f>
        <v>1222</v>
      </c>
      <c r="R6" s="433">
        <f t="shared" si="12"/>
        <v>-0.94315918830654311</v>
      </c>
      <c r="S6" s="437">
        <f t="shared" si="3"/>
        <v>1222</v>
      </c>
      <c r="T6" s="433">
        <f t="shared" si="13"/>
        <v>-0.94315918830654311</v>
      </c>
      <c r="U6" s="437">
        <f t="shared" si="3"/>
        <v>1222</v>
      </c>
      <c r="V6" s="433">
        <f t="shared" si="14"/>
        <v>-0.94315918830654311</v>
      </c>
      <c r="W6" s="437">
        <f t="shared" si="3"/>
        <v>1222</v>
      </c>
      <c r="X6" s="433">
        <f t="shared" si="15"/>
        <v>-0.94315918830654311</v>
      </c>
      <c r="Y6" s="437">
        <f t="shared" si="3"/>
        <v>1222</v>
      </c>
      <c r="Z6" s="433">
        <f t="shared" si="16"/>
        <v>-0.94315918830654311</v>
      </c>
      <c r="AA6" s="437">
        <f t="shared" si="3"/>
        <v>1222</v>
      </c>
      <c r="AB6" s="433">
        <f t="shared" si="17"/>
        <v>-0.94315918830654311</v>
      </c>
      <c r="AC6" s="437">
        <f t="shared" si="3"/>
        <v>1222</v>
      </c>
      <c r="AD6" s="433">
        <f t="shared" si="18"/>
        <v>-0.94315918830654311</v>
      </c>
      <c r="AE6" s="437">
        <f t="shared" si="19"/>
        <v>1222</v>
      </c>
      <c r="AF6" s="433">
        <f t="shared" si="20"/>
        <v>-0.94315918830654311</v>
      </c>
    </row>
    <row r="7" spans="1:34" ht="21">
      <c r="A7" s="405">
        <f t="shared" si="4"/>
        <v>8.7768911615665555E-3</v>
      </c>
      <c r="B7" s="422">
        <v>155</v>
      </c>
      <c r="C7" s="423">
        <v>1100</v>
      </c>
      <c r="D7" s="422">
        <f t="shared" si="0"/>
        <v>1255</v>
      </c>
      <c r="E7" s="452">
        <f t="shared" si="1"/>
        <v>-16560</v>
      </c>
      <c r="F7" s="424">
        <f t="shared" si="2"/>
        <v>-0.92955374684254843</v>
      </c>
      <c r="G7" s="444">
        <v>194</v>
      </c>
      <c r="H7" s="422">
        <f t="shared" si="5"/>
        <v>-39</v>
      </c>
      <c r="I7" s="436">
        <f t="shared" ref="I7:I8" si="23">B7+$I$1</f>
        <v>15155</v>
      </c>
      <c r="J7" s="433">
        <f t="shared" si="7"/>
        <v>-0.15062287569406496</v>
      </c>
      <c r="K7" s="436">
        <f t="shared" si="8"/>
        <v>855</v>
      </c>
      <c r="L7" s="433">
        <f t="shared" si="9"/>
        <v>-0.96036239540276014</v>
      </c>
      <c r="M7" s="436">
        <f t="shared" si="21"/>
        <v>955</v>
      </c>
      <c r="N7" s="433">
        <f t="shared" si="10"/>
        <v>-0.95469988127892302</v>
      </c>
      <c r="O7" s="436">
        <f t="shared" si="22"/>
        <v>1055</v>
      </c>
      <c r="P7" s="433">
        <f t="shared" si="11"/>
        <v>-0.94903736715508591</v>
      </c>
      <c r="Q7" s="436">
        <f t="shared" ref="Q7:Q12" si="24">B7+$Q$1</f>
        <v>1155</v>
      </c>
      <c r="R7" s="433">
        <f t="shared" si="12"/>
        <v>-0.94337485303124902</v>
      </c>
      <c r="S7" s="436">
        <f>B7+$S$1</f>
        <v>1255</v>
      </c>
      <c r="T7" s="433">
        <f t="shared" si="13"/>
        <v>-0.9377123389074119</v>
      </c>
      <c r="U7" s="437">
        <f t="shared" si="3"/>
        <v>1255</v>
      </c>
      <c r="V7" s="433">
        <f t="shared" si="14"/>
        <v>-0.9377123389074119</v>
      </c>
      <c r="W7" s="437">
        <f t="shared" si="3"/>
        <v>1255</v>
      </c>
      <c r="X7" s="433">
        <f t="shared" si="15"/>
        <v>-0.9377123389074119</v>
      </c>
      <c r="Y7" s="437">
        <f t="shared" si="3"/>
        <v>1255</v>
      </c>
      <c r="Z7" s="433">
        <f t="shared" si="16"/>
        <v>-0.9377123389074119</v>
      </c>
      <c r="AA7" s="437">
        <f t="shared" si="3"/>
        <v>1255</v>
      </c>
      <c r="AB7" s="433">
        <f t="shared" si="17"/>
        <v>-0.9377123389074119</v>
      </c>
      <c r="AC7" s="437">
        <f t="shared" si="3"/>
        <v>1255</v>
      </c>
      <c r="AD7" s="433">
        <f t="shared" si="18"/>
        <v>-0.9377123389074119</v>
      </c>
      <c r="AE7" s="437">
        <f t="shared" si="19"/>
        <v>1255</v>
      </c>
      <c r="AF7" s="433">
        <f t="shared" si="20"/>
        <v>-0.9377123389074119</v>
      </c>
    </row>
    <row r="8" spans="1:34" ht="21">
      <c r="A8" s="405">
        <f t="shared" si="4"/>
        <v>1.0550784974357427E-2</v>
      </c>
      <c r="B8" s="457">
        <v>186</v>
      </c>
      <c r="C8" s="458">
        <v>1200</v>
      </c>
      <c r="D8" s="457">
        <f t="shared" si="0"/>
        <v>1386</v>
      </c>
      <c r="E8" s="459">
        <f t="shared" si="1"/>
        <v>-16429</v>
      </c>
      <c r="F8" s="460">
        <f t="shared" si="2"/>
        <v>-0.92220039292730849</v>
      </c>
      <c r="G8" s="461">
        <v>121</v>
      </c>
      <c r="H8" s="457">
        <f t="shared" si="5"/>
        <v>65</v>
      </c>
      <c r="I8" s="436">
        <f t="shared" si="23"/>
        <v>15186</v>
      </c>
      <c r="J8" s="433">
        <f t="shared" si="7"/>
        <v>-0.1491292738533587</v>
      </c>
      <c r="K8" s="436">
        <f t="shared" si="8"/>
        <v>886</v>
      </c>
      <c r="L8" s="433">
        <f t="shared" si="9"/>
        <v>-0.96029268811848978</v>
      </c>
      <c r="M8" s="436">
        <f t="shared" si="21"/>
        <v>986</v>
      </c>
      <c r="N8" s="433">
        <f t="shared" si="10"/>
        <v>-0.95462021669006236</v>
      </c>
      <c r="O8" s="436">
        <f t="shared" si="22"/>
        <v>1086</v>
      </c>
      <c r="P8" s="433">
        <f t="shared" si="11"/>
        <v>-0.94894774526163483</v>
      </c>
      <c r="Q8" s="436">
        <f t="shared" si="24"/>
        <v>1186</v>
      </c>
      <c r="R8" s="433">
        <f t="shared" si="12"/>
        <v>-0.94327527383320731</v>
      </c>
      <c r="S8" s="436">
        <f t="shared" ref="S8:S12" si="25">B8+$S$1</f>
        <v>1286</v>
      </c>
      <c r="T8" s="467">
        <f t="shared" si="13"/>
        <v>-0.93760280240477978</v>
      </c>
      <c r="U8" s="436">
        <f>B8+$U$1</f>
        <v>1386</v>
      </c>
      <c r="V8" s="467">
        <f>(1+A8)*(U8-$B$13)/$B$13</f>
        <v>-0.93193033097635247</v>
      </c>
      <c r="W8" s="461">
        <f t="shared" si="3"/>
        <v>1386</v>
      </c>
      <c r="X8" s="467">
        <f t="shared" si="15"/>
        <v>-0.93193033097635247</v>
      </c>
      <c r="Y8" s="461">
        <f t="shared" si="3"/>
        <v>1386</v>
      </c>
      <c r="Z8" s="467">
        <f t="shared" si="16"/>
        <v>-0.93193033097635247</v>
      </c>
      <c r="AA8" s="461">
        <f t="shared" si="3"/>
        <v>1386</v>
      </c>
      <c r="AB8" s="467">
        <f t="shared" si="17"/>
        <v>-0.93193033097635247</v>
      </c>
      <c r="AC8" s="461">
        <f t="shared" si="3"/>
        <v>1386</v>
      </c>
      <c r="AD8" s="467">
        <f t="shared" si="18"/>
        <v>-0.93193033097635247</v>
      </c>
      <c r="AE8" s="461">
        <f t="shared" si="19"/>
        <v>1386</v>
      </c>
      <c r="AF8" s="467">
        <f t="shared" si="20"/>
        <v>-0.93193033097635247</v>
      </c>
    </row>
    <row r="9" spans="1:34" ht="21">
      <c r="A9" s="405">
        <f t="shared" si="4"/>
        <v>7.9207882351029334E-3</v>
      </c>
      <c r="B9" s="462">
        <v>140</v>
      </c>
      <c r="C9" s="463">
        <v>1300</v>
      </c>
      <c r="D9" s="462">
        <f t="shared" si="0"/>
        <v>1440</v>
      </c>
      <c r="E9" s="464">
        <f t="shared" si="1"/>
        <v>-16375</v>
      </c>
      <c r="F9" s="465">
        <f t="shared" si="2"/>
        <v>-0.91916923940499584</v>
      </c>
      <c r="G9" s="466">
        <v>131</v>
      </c>
      <c r="H9" s="462">
        <f t="shared" si="5"/>
        <v>9</v>
      </c>
      <c r="I9" s="436">
        <f t="shared" si="6"/>
        <v>15140</v>
      </c>
      <c r="J9" s="433">
        <f t="shared" si="7"/>
        <v>-0.15134370522194218</v>
      </c>
      <c r="K9" s="436">
        <f t="shared" si="8"/>
        <v>840</v>
      </c>
      <c r="L9" s="433">
        <f t="shared" si="9"/>
        <v>-0.96039603594110978</v>
      </c>
      <c r="M9" s="436">
        <f t="shared" si="21"/>
        <v>940</v>
      </c>
      <c r="N9" s="433">
        <f t="shared" si="10"/>
        <v>-0.954738327334682</v>
      </c>
      <c r="O9" s="436">
        <f t="shared" si="22"/>
        <v>1040</v>
      </c>
      <c r="P9" s="433">
        <f t="shared" si="11"/>
        <v>-0.94908061872825433</v>
      </c>
      <c r="Q9" s="436">
        <f t="shared" si="24"/>
        <v>1140</v>
      </c>
      <c r="R9" s="433">
        <f t="shared" si="12"/>
        <v>-0.94342291012182666</v>
      </c>
      <c r="S9" s="436">
        <f t="shared" si="25"/>
        <v>1240</v>
      </c>
      <c r="T9" s="468">
        <f t="shared" si="13"/>
        <v>-0.93776520151539888</v>
      </c>
      <c r="U9" s="436">
        <f t="shared" ref="U9:U12" si="26">B9+$U$1</f>
        <v>1340</v>
      </c>
      <c r="V9" s="468">
        <f t="shared" si="14"/>
        <v>-0.93210749290897099</v>
      </c>
      <c r="W9" s="436">
        <f>B9+$W$1</f>
        <v>1440</v>
      </c>
      <c r="X9" s="468">
        <f>(1+A9)*(W9-$B$13)/$B$13</f>
        <v>-0.92644978430254332</v>
      </c>
      <c r="Y9" s="466">
        <f t="shared" si="3"/>
        <v>1440</v>
      </c>
      <c r="Z9" s="468">
        <f t="shared" si="16"/>
        <v>-0.92644978430254332</v>
      </c>
      <c r="AA9" s="466">
        <f t="shared" si="3"/>
        <v>1440</v>
      </c>
      <c r="AB9" s="468">
        <f t="shared" si="17"/>
        <v>-0.92644978430254332</v>
      </c>
      <c r="AC9" s="466">
        <f t="shared" si="3"/>
        <v>1440</v>
      </c>
      <c r="AD9" s="468">
        <f t="shared" si="18"/>
        <v>-0.92644978430254332</v>
      </c>
      <c r="AE9" s="466">
        <f t="shared" si="19"/>
        <v>1440</v>
      </c>
      <c r="AF9" s="468">
        <f t="shared" si="20"/>
        <v>-0.92644978430254332</v>
      </c>
    </row>
    <row r="10" spans="1:34" ht="21">
      <c r="A10" s="405">
        <f t="shared" si="4"/>
        <v>3.096846755719166E-3</v>
      </c>
      <c r="B10" s="428">
        <v>55</v>
      </c>
      <c r="C10" s="429">
        <v>1400</v>
      </c>
      <c r="D10" s="428">
        <f t="shared" si="0"/>
        <v>1455</v>
      </c>
      <c r="E10" s="453">
        <f t="shared" si="1"/>
        <v>-16360</v>
      </c>
      <c r="F10" s="430">
        <f t="shared" si="2"/>
        <v>-0.91832725231546453</v>
      </c>
      <c r="G10" s="434">
        <v>141</v>
      </c>
      <c r="H10" s="428">
        <f t="shared" si="5"/>
        <v>-86</v>
      </c>
      <c r="I10" s="436">
        <f t="shared" si="6"/>
        <v>15055</v>
      </c>
      <c r="J10" s="433">
        <f t="shared" si="7"/>
        <v>-0.15540540539128736</v>
      </c>
      <c r="K10" s="436">
        <f t="shared" si="8"/>
        <v>755</v>
      </c>
      <c r="L10" s="433">
        <f t="shared" si="9"/>
        <v>-0.96058558549831985</v>
      </c>
      <c r="M10" s="436">
        <f t="shared" si="21"/>
        <v>855</v>
      </c>
      <c r="N10" s="433">
        <f t="shared" si="10"/>
        <v>-0.9549549548682007</v>
      </c>
      <c r="O10" s="436">
        <f t="shared" si="22"/>
        <v>955</v>
      </c>
      <c r="P10" s="433">
        <f t="shared" si="11"/>
        <v>-0.94932432423808155</v>
      </c>
      <c r="Q10" s="436">
        <f t="shared" si="24"/>
        <v>1055</v>
      </c>
      <c r="R10" s="433">
        <f t="shared" si="12"/>
        <v>-0.9436936936079624</v>
      </c>
      <c r="S10" s="436">
        <f t="shared" si="25"/>
        <v>1155</v>
      </c>
      <c r="T10" s="433">
        <f t="shared" si="13"/>
        <v>-0.93806306297784325</v>
      </c>
      <c r="U10" s="436">
        <f t="shared" si="26"/>
        <v>1255</v>
      </c>
      <c r="V10" s="433">
        <f t="shared" si="14"/>
        <v>-0.93243243234772433</v>
      </c>
      <c r="W10" s="436">
        <f>B10+$W$1</f>
        <v>1355</v>
      </c>
      <c r="X10" s="433">
        <f t="shared" si="15"/>
        <v>-0.92680180171760518</v>
      </c>
      <c r="Y10" s="436">
        <f>B10+$Y$1</f>
        <v>1455</v>
      </c>
      <c r="Z10" s="433">
        <f t="shared" si="16"/>
        <v>-0.92117117108748614</v>
      </c>
      <c r="AA10" s="437">
        <f t="shared" si="3"/>
        <v>1455</v>
      </c>
      <c r="AB10" s="433">
        <f t="shared" si="17"/>
        <v>-0.92117117108748614</v>
      </c>
      <c r="AC10" s="437">
        <f t="shared" si="3"/>
        <v>1455</v>
      </c>
      <c r="AD10" s="433">
        <f t="shared" si="18"/>
        <v>-0.92117117108748614</v>
      </c>
      <c r="AE10" s="437">
        <f t="shared" si="19"/>
        <v>1455</v>
      </c>
      <c r="AF10" s="433">
        <f t="shared" si="20"/>
        <v>-0.92117117108748614</v>
      </c>
      <c r="AH10" s="456" t="s">
        <v>25</v>
      </c>
    </row>
    <row r="11" spans="1:34" ht="21">
      <c r="A11" s="405">
        <f t="shared" si="4"/>
        <v>2.4759439163295283E-3</v>
      </c>
      <c r="B11" s="425">
        <v>44</v>
      </c>
      <c r="C11" s="426">
        <v>1500</v>
      </c>
      <c r="D11" s="425">
        <f t="shared" si="0"/>
        <v>1544</v>
      </c>
      <c r="E11" s="454">
        <f t="shared" si="1"/>
        <v>-16271</v>
      </c>
      <c r="F11" s="427">
        <f t="shared" si="2"/>
        <v>-0.91333146225091211</v>
      </c>
      <c r="G11" s="445">
        <v>151</v>
      </c>
      <c r="H11" s="425">
        <f t="shared" si="5"/>
        <v>-107</v>
      </c>
      <c r="I11" s="436">
        <f t="shared" si="6"/>
        <v>15044</v>
      </c>
      <c r="J11" s="433">
        <f t="shared" si="7"/>
        <v>-0.15592819761954246</v>
      </c>
      <c r="K11" s="436">
        <f t="shared" si="8"/>
        <v>744</v>
      </c>
      <c r="L11" s="433">
        <f t="shared" si="9"/>
        <v>-0.96060998252010443</v>
      </c>
      <c r="M11" s="436">
        <f t="shared" si="21"/>
        <v>844</v>
      </c>
      <c r="N11" s="433">
        <f t="shared" si="10"/>
        <v>-0.95498283717114951</v>
      </c>
      <c r="O11" s="436">
        <f t="shared" si="22"/>
        <v>944</v>
      </c>
      <c r="P11" s="433">
        <f t="shared" si="11"/>
        <v>-0.94935569182219448</v>
      </c>
      <c r="Q11" s="436">
        <f t="shared" si="24"/>
        <v>1044</v>
      </c>
      <c r="R11" s="433">
        <f t="shared" si="12"/>
        <v>-0.94372854647323956</v>
      </c>
      <c r="S11" s="436">
        <f t="shared" si="25"/>
        <v>1144</v>
      </c>
      <c r="T11" s="433">
        <f t="shared" si="13"/>
        <v>-0.93810140112428464</v>
      </c>
      <c r="U11" s="436">
        <f t="shared" si="26"/>
        <v>1244</v>
      </c>
      <c r="V11" s="433">
        <f t="shared" si="14"/>
        <v>-0.93247425577532972</v>
      </c>
      <c r="W11" s="436">
        <f>B11+$W$1</f>
        <v>1344</v>
      </c>
      <c r="X11" s="433">
        <f t="shared" si="15"/>
        <v>-0.92684711042637469</v>
      </c>
      <c r="Y11" s="436">
        <f>B11+$Y$1</f>
        <v>1444</v>
      </c>
      <c r="Z11" s="433">
        <f t="shared" si="16"/>
        <v>-0.92121996507741954</v>
      </c>
      <c r="AA11" s="436">
        <f>B11+$AA$1</f>
        <v>1544</v>
      </c>
      <c r="AB11" s="433">
        <f t="shared" si="17"/>
        <v>-0.91559281972846474</v>
      </c>
      <c r="AC11" s="437">
        <f t="shared" si="3"/>
        <v>1544</v>
      </c>
      <c r="AD11" s="433">
        <f t="shared" si="18"/>
        <v>-0.91559281972846474</v>
      </c>
      <c r="AE11" s="437">
        <f t="shared" si="19"/>
        <v>1544</v>
      </c>
      <c r="AF11" s="433">
        <f t="shared" si="20"/>
        <v>-0.91559281972846474</v>
      </c>
    </row>
    <row r="12" spans="1:34" ht="21">
      <c r="A12" s="405">
        <f t="shared" si="4"/>
        <v>2.8145228761380335E-3</v>
      </c>
      <c r="B12" s="418">
        <v>50</v>
      </c>
      <c r="C12" s="419">
        <v>1600</v>
      </c>
      <c r="D12" s="418">
        <f t="shared" si="0"/>
        <v>1650</v>
      </c>
      <c r="E12" s="455">
        <f t="shared" si="1"/>
        <v>-16165</v>
      </c>
      <c r="F12" s="420">
        <f t="shared" si="2"/>
        <v>-0.90738142015155765</v>
      </c>
      <c r="G12" s="446">
        <v>161</v>
      </c>
      <c r="H12" s="418">
        <f t="shared" si="5"/>
        <v>-111</v>
      </c>
      <c r="I12" s="436">
        <f t="shared" si="6"/>
        <v>15050</v>
      </c>
      <c r="J12" s="433">
        <f t="shared" si="7"/>
        <v>-0.15564311848175816</v>
      </c>
      <c r="K12" s="436">
        <f t="shared" si="8"/>
        <v>750</v>
      </c>
      <c r="L12" s="433">
        <f t="shared" si="9"/>
        <v>-0.96059667880332844</v>
      </c>
      <c r="M12" s="436">
        <f t="shared" si="21"/>
        <v>850</v>
      </c>
      <c r="N12" s="433">
        <f t="shared" si="10"/>
        <v>-0.95496763292695386</v>
      </c>
      <c r="O12" s="436">
        <f t="shared" si="22"/>
        <v>950</v>
      </c>
      <c r="P12" s="433">
        <f t="shared" si="11"/>
        <v>-0.94933858705057916</v>
      </c>
      <c r="Q12" s="436">
        <f t="shared" si="24"/>
        <v>1050</v>
      </c>
      <c r="R12" s="433">
        <f t="shared" si="12"/>
        <v>-0.94370954117420458</v>
      </c>
      <c r="S12" s="436">
        <f t="shared" si="25"/>
        <v>1150</v>
      </c>
      <c r="T12" s="433">
        <f t="shared" si="13"/>
        <v>-0.93808049529782989</v>
      </c>
      <c r="U12" s="436">
        <f t="shared" si="26"/>
        <v>1250</v>
      </c>
      <c r="V12" s="433">
        <f t="shared" si="14"/>
        <v>-0.9324514494214553</v>
      </c>
      <c r="W12" s="436">
        <f>B12+$W$1</f>
        <v>1350</v>
      </c>
      <c r="X12" s="433">
        <f t="shared" si="15"/>
        <v>-0.92682240354508061</v>
      </c>
      <c r="Y12" s="436">
        <f>B12+$Y$1</f>
        <v>1450</v>
      </c>
      <c r="Z12" s="433">
        <f t="shared" si="16"/>
        <v>-0.92119335766870603</v>
      </c>
      <c r="AA12" s="436">
        <f>B12+$AA$1</f>
        <v>1550</v>
      </c>
      <c r="AB12" s="433">
        <f t="shared" si="17"/>
        <v>-0.91556431179233144</v>
      </c>
      <c r="AC12" s="436">
        <f>B12+$AC$1</f>
        <v>1650</v>
      </c>
      <c r="AD12" s="433">
        <f t="shared" si="18"/>
        <v>-0.90993526591595686</v>
      </c>
      <c r="AE12" s="437">
        <f t="shared" si="19"/>
        <v>1650</v>
      </c>
      <c r="AF12" s="433">
        <f t="shared" si="20"/>
        <v>-0.90993526591595686</v>
      </c>
    </row>
    <row r="13" spans="1:34" ht="21">
      <c r="A13" s="434" t="s">
        <v>6893</v>
      </c>
      <c r="B13" s="428">
        <v>17815</v>
      </c>
      <c r="C13" s="428">
        <v>18600</v>
      </c>
      <c r="D13" s="428"/>
      <c r="E13" s="434"/>
      <c r="F13" s="428"/>
      <c r="G13" s="428"/>
      <c r="H13" s="428"/>
      <c r="I13" s="430">
        <f>(I1-$B$13)/$B$13</f>
        <v>-0.15801291046870614</v>
      </c>
      <c r="J13" s="434"/>
      <c r="K13" s="430">
        <f>(K1-$B$13)/$B$13</f>
        <v>-0.96070726915520632</v>
      </c>
      <c r="L13" s="428"/>
      <c r="M13" s="430">
        <f>(M1-$B$13)/$B$13</f>
        <v>-0.95509402189166437</v>
      </c>
      <c r="N13" s="428"/>
      <c r="O13" s="430">
        <f>(O1-$B$13)/$B$13</f>
        <v>-0.94948077462812241</v>
      </c>
      <c r="P13" s="428"/>
      <c r="Q13" s="430">
        <f>(Q1-$B$13)/$B$13</f>
        <v>-0.94386752736458046</v>
      </c>
      <c r="R13" s="428"/>
      <c r="S13" s="430">
        <f>(S1-$B$13)/$B$13</f>
        <v>-0.9382542801010384</v>
      </c>
      <c r="T13" s="428"/>
      <c r="U13" s="430">
        <f>(U1-$B$13)/$B$13</f>
        <v>-0.93264103283749644</v>
      </c>
      <c r="V13" s="428"/>
      <c r="W13" s="430">
        <f>(W1-$B$13)/$B$13</f>
        <v>-0.92702778557395449</v>
      </c>
      <c r="X13" s="428"/>
      <c r="Y13" s="430">
        <f>(Y1-$B$13)/$B$13</f>
        <v>-0.92141453831041253</v>
      </c>
      <c r="Z13" s="428"/>
      <c r="AA13" s="430">
        <f>(AA1-$B$13)/$B$13</f>
        <v>-0.91580129104687058</v>
      </c>
      <c r="AB13" s="428"/>
      <c r="AC13" s="430">
        <f>(AC1-$B$13)/$B$13</f>
        <v>-0.91018804378332863</v>
      </c>
      <c r="AD13" s="428"/>
      <c r="AE13" s="430">
        <f>(AE1-$B$13)/$B$13</f>
        <v>-0.90457479651978667</v>
      </c>
      <c r="AF13" s="11"/>
    </row>
    <row r="14" spans="1:34" ht="21">
      <c r="A14" s="421"/>
      <c r="B14" s="421"/>
      <c r="C14" s="421" t="s">
        <v>4340</v>
      </c>
      <c r="D14" s="421"/>
      <c r="E14" s="435"/>
      <c r="F14" s="421"/>
      <c r="G14" s="421"/>
      <c r="H14" s="421"/>
      <c r="I14" s="421"/>
      <c r="J14" s="435"/>
      <c r="K14" s="421"/>
      <c r="L14" s="421"/>
      <c r="M14" s="421"/>
      <c r="N14" s="421"/>
      <c r="O14" s="421"/>
      <c r="P14" s="421"/>
      <c r="Q14" s="421"/>
      <c r="R14" s="421"/>
      <c r="S14" s="421"/>
      <c r="T14" s="421"/>
      <c r="U14" s="421"/>
      <c r="V14" s="421"/>
      <c r="W14" s="421"/>
      <c r="X14" s="421"/>
      <c r="Y14" s="421"/>
      <c r="Z14" s="421"/>
      <c r="AA14" s="421"/>
      <c r="AB14" s="421"/>
      <c r="AC14" s="421"/>
      <c r="AD14" s="421"/>
      <c r="AE14" s="421"/>
      <c r="AF14" s="11"/>
    </row>
    <row r="18" spans="3:11" ht="21">
      <c r="C18" s="23" t="s">
        <v>6894</v>
      </c>
      <c r="D18" s="470" t="s">
        <v>6895</v>
      </c>
    </row>
    <row r="19" spans="3:11">
      <c r="H19" s="456" t="s">
        <v>25</v>
      </c>
      <c r="I19" s="456" t="s">
        <v>25</v>
      </c>
    </row>
    <row r="21" spans="3:11">
      <c r="G21" s="456" t="s">
        <v>25</v>
      </c>
    </row>
    <row r="23" spans="3:11">
      <c r="H23" s="456" t="s">
        <v>25</v>
      </c>
      <c r="K23" s="456"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6731</v>
      </c>
    </row>
    <row r="5" spans="1:1">
      <c r="A5" t="s">
        <v>6732</v>
      </c>
    </row>
    <row r="6" spans="1:1">
      <c r="A6" t="s">
        <v>6733</v>
      </c>
    </row>
    <row r="7" spans="1:1">
      <c r="A7" t="s">
        <v>6734</v>
      </c>
    </row>
    <row r="8" spans="1:1">
      <c r="A8" t="s">
        <v>6735</v>
      </c>
    </row>
    <row r="9" spans="1:1">
      <c r="A9" t="s">
        <v>6736</v>
      </c>
    </row>
    <row r="11" spans="1:1">
      <c r="A11" t="s">
        <v>6737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ساله'!D19</f>
        <v>2031</v>
      </c>
      <c r="H4" s="37">
        <f>C4*G4</f>
        <v>599145000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2031</v>
      </c>
      <c r="H19" s="37">
        <f>C19*G19</f>
        <v>26273016</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6750</v>
      </c>
      <c r="D1" s="123" t="s">
        <v>6751</v>
      </c>
      <c r="E1" s="123" t="s">
        <v>6771</v>
      </c>
      <c r="F1" s="247" t="s">
        <v>6477</v>
      </c>
      <c r="G1" s="123" t="s">
        <v>6476</v>
      </c>
      <c r="H1" s="247" t="s">
        <v>6723</v>
      </c>
      <c r="I1" s="123" t="s">
        <v>6724</v>
      </c>
      <c r="J1" s="247" t="s">
        <v>6478</v>
      </c>
      <c r="K1" s="123" t="s">
        <v>6479</v>
      </c>
      <c r="L1" s="123" t="s">
        <v>6027</v>
      </c>
      <c r="M1" s="123" t="s">
        <v>6619</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6772</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6754</v>
      </c>
      <c r="D1" s="123" t="s">
        <v>6755</v>
      </c>
      <c r="E1" s="123" t="s">
        <v>6756</v>
      </c>
      <c r="F1" s="123" t="s">
        <v>6757</v>
      </c>
      <c r="G1" s="247" t="s">
        <v>6477</v>
      </c>
      <c r="H1" s="123" t="s">
        <v>6476</v>
      </c>
      <c r="I1" s="123" t="s">
        <v>6693</v>
      </c>
      <c r="J1" s="123" t="s">
        <v>6697</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20">
        <f t="shared" ref="D34:D37" si="6">B34/C34</f>
        <v>0.14814814814814814</v>
      </c>
      <c r="E34">
        <f>(1+D34)*E33</f>
        <v>1.255787037037037</v>
      </c>
    </row>
    <row r="35" spans="1:11">
      <c r="B35">
        <v>63</v>
      </c>
      <c r="C35">
        <v>1860</v>
      </c>
      <c r="D35" s="320">
        <f t="shared" si="6"/>
        <v>3.3870967741935487E-2</v>
      </c>
      <c r="E35" s="320">
        <f t="shared" ref="E35:E37" si="7">(1+D35)*E34</f>
        <v>1.2983217592592593</v>
      </c>
    </row>
    <row r="36" spans="1:11">
      <c r="B36">
        <v>193</v>
      </c>
      <c r="C36">
        <v>1330</v>
      </c>
      <c r="D36" s="320">
        <f t="shared" si="6"/>
        <v>0.14511278195488722</v>
      </c>
      <c r="E36" s="320">
        <f t="shared" si="7"/>
        <v>1.4867248416179337</v>
      </c>
    </row>
    <row r="37" spans="1:11">
      <c r="B37">
        <v>215</v>
      </c>
      <c r="C37">
        <v>1200</v>
      </c>
      <c r="D37" s="320">
        <f t="shared" si="6"/>
        <v>0.17916666666666667</v>
      </c>
      <c r="E37" s="320">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0">
        <f t="shared" ref="D49:D51" si="8">B49/C49</f>
        <v>5.4444444444444441E-2</v>
      </c>
      <c r="E49">
        <f>(1+D49)*E48</f>
        <v>1.2095098039215686</v>
      </c>
    </row>
    <row r="50" spans="1:6">
      <c r="B50">
        <v>80</v>
      </c>
      <c r="C50">
        <v>1050</v>
      </c>
      <c r="D50" s="320">
        <f t="shared" si="8"/>
        <v>7.6190476190476197E-2</v>
      </c>
      <c r="E50" s="320">
        <f t="shared" ref="E50:E51" si="9">(1+D50)*E49</f>
        <v>1.3016629318394024</v>
      </c>
    </row>
    <row r="51" spans="1:6">
      <c r="B51">
        <v>193</v>
      </c>
      <c r="C51">
        <v>1400</v>
      </c>
      <c r="D51" s="320">
        <f t="shared" si="8"/>
        <v>0.13785714285714284</v>
      </c>
      <c r="E51" s="320">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2023-07-08T14:55:03Z</dcterms:modified>
</cp:coreProperties>
</file>