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A132" i="63" l="1"/>
  <c r="A136" i="63"/>
  <c r="C133" i="63"/>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E133" i="63"/>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F133" i="63"/>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F198" i="63" s="1"/>
  <c r="F199" i="63" s="1"/>
  <c r="W410" i="18" l="1"/>
  <c r="S126" i="18"/>
  <c r="O50" i="18"/>
  <c r="G88" i="63"/>
  <c r="H88" i="63"/>
  <c r="I88" i="63"/>
  <c r="W409" i="18" l="1"/>
  <c r="F90" i="63"/>
  <c r="C90" i="63"/>
  <c r="W408" i="18" l="1"/>
  <c r="G97" i="63" l="1"/>
  <c r="G98" i="63"/>
  <c r="H97" i="63"/>
  <c r="I97" i="63"/>
  <c r="G89" i="63"/>
  <c r="H89" i="63"/>
  <c r="K89" i="63" s="1"/>
  <c r="I89" i="63"/>
  <c r="W407" i="18" l="1"/>
  <c r="W406" i="18" l="1"/>
  <c r="H270" i="18" l="1"/>
  <c r="W405" i="18"/>
  <c r="G128" i="63"/>
  <c r="H96" i="63"/>
  <c r="I96" i="63"/>
  <c r="H98" i="63"/>
  <c r="K98" i="63" s="1"/>
  <c r="I98" i="63"/>
  <c r="G96" i="63"/>
  <c r="K144" i="18"/>
  <c r="K97" i="63" l="1"/>
  <c r="W404" i="18"/>
  <c r="W403" i="18" l="1"/>
  <c r="W402" i="18" l="1"/>
  <c r="V150" i="18" l="1"/>
  <c r="W401" i="18"/>
  <c r="I165" i="18" l="1"/>
  <c r="G165" i="18"/>
  <c r="W397" i="18"/>
  <c r="W400" i="18"/>
  <c r="R454" i="18" l="1"/>
  <c r="W399" i="18"/>
  <c r="W398" i="18" l="1"/>
  <c r="W396" i="18" l="1"/>
  <c r="G116" i="63"/>
  <c r="H116" i="63"/>
  <c r="I116" i="63"/>
  <c r="G117" i="63"/>
  <c r="H117" i="63"/>
  <c r="I117" i="63"/>
  <c r="G118" i="63"/>
  <c r="H118" i="63"/>
  <c r="I118" i="63"/>
  <c r="G119" i="63"/>
  <c r="H119" i="63"/>
  <c r="I119" i="63"/>
  <c r="G120" i="63"/>
  <c r="H120" i="63"/>
  <c r="I120" i="63"/>
  <c r="G121" i="63"/>
  <c r="H121" i="63"/>
  <c r="I121" i="63"/>
  <c r="H95" i="63"/>
  <c r="I95" i="63"/>
  <c r="G95" i="63"/>
  <c r="K119" i="63" l="1"/>
  <c r="K96" i="63"/>
  <c r="K117" i="63"/>
  <c r="K120" i="63"/>
  <c r="K118" i="63"/>
  <c r="K121" i="63"/>
  <c r="W395" i="18" l="1"/>
  <c r="U416" i="18" l="1"/>
  <c r="W393" i="18"/>
  <c r="W392" i="18"/>
  <c r="W391" i="18"/>
  <c r="W387" i="18"/>
  <c r="W388" i="18"/>
  <c r="W389" i="18"/>
  <c r="W390" i="18"/>
  <c r="W386" i="18"/>
  <c r="W394" i="18"/>
  <c r="V151" i="18" l="1"/>
  <c r="T143" i="18" s="1"/>
  <c r="L44" i="18"/>
  <c r="W385" i="18" l="1"/>
  <c r="G101" i="63"/>
  <c r="W384" i="18" l="1"/>
  <c r="W383" i="18" l="1"/>
  <c r="W382" i="18" l="1"/>
  <c r="W381" i="18" l="1"/>
  <c r="W380" i="18" l="1"/>
  <c r="W379"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8"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7" i="18"/>
  <c r="W376" i="18" l="1"/>
  <c r="W375" i="18" l="1"/>
  <c r="W374" i="18" l="1"/>
  <c r="W373" i="18" l="1"/>
  <c r="W372" i="18"/>
  <c r="R292" i="18"/>
  <c r="W371" i="18"/>
  <c r="W370" i="18"/>
  <c r="W415" i="18"/>
  <c r="W369" i="18" l="1"/>
  <c r="W368" i="18" l="1"/>
  <c r="I87" i="63" l="1"/>
  <c r="H87" i="63"/>
  <c r="K88" i="63" s="1"/>
  <c r="I127" i="63"/>
  <c r="I128" i="63" s="1"/>
  <c r="W367" i="18" l="1"/>
  <c r="V435" i="18"/>
  <c r="S233" i="18" l="1"/>
  <c r="G126" i="63" l="1"/>
  <c r="I90" i="63" l="1"/>
  <c r="G127" i="63" l="1"/>
  <c r="W366"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5" i="18"/>
  <c r="L90" i="63" l="1"/>
  <c r="AL242" i="18"/>
  <c r="AM243" i="18"/>
  <c r="W364" i="18"/>
  <c r="W363" i="18"/>
  <c r="AJ250" i="18"/>
  <c r="AL241" i="18" l="1"/>
  <c r="AM242" i="18"/>
  <c r="AL240" i="18" l="1"/>
  <c r="AM241" i="18"/>
  <c r="W362" i="18"/>
  <c r="S104" i="18"/>
  <c r="AL239" i="18" l="1"/>
  <c r="AM240" i="18"/>
  <c r="W36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0" i="18"/>
  <c r="W359" i="18"/>
  <c r="W358" i="18"/>
  <c r="W357" i="18"/>
  <c r="W356" i="18"/>
  <c r="W35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G94" i="63"/>
  <c r="H94" i="63"/>
  <c r="I94" i="63"/>
  <c r="K95" i="63" l="1"/>
  <c r="AL229" i="18"/>
  <c r="AM230" i="18"/>
  <c r="W347" i="18"/>
  <c r="G93" i="63"/>
  <c r="H93" i="63"/>
  <c r="K94" i="63" s="1"/>
  <c r="I93" i="63"/>
  <c r="AL228" i="18" l="1"/>
  <c r="AM229" i="18"/>
  <c r="W346"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5" i="18"/>
  <c r="AL227" i="18" l="1"/>
  <c r="AM228" i="18"/>
  <c r="P375" i="52"/>
  <c r="P376" i="52"/>
  <c r="P368" i="52"/>
  <c r="P373" i="52"/>
  <c r="P372" i="52"/>
  <c r="P371" i="52"/>
  <c r="P370" i="52"/>
  <c r="P369" i="52"/>
  <c r="W344" i="18"/>
  <c r="AL226" i="18" l="1"/>
  <c r="AM227" i="18"/>
  <c r="G115" i="63"/>
  <c r="H115" i="63"/>
  <c r="I115" i="63"/>
  <c r="K116" i="63" l="1"/>
  <c r="AL225" i="18"/>
  <c r="AM226" i="18"/>
  <c r="W343" i="18"/>
  <c r="AL441" i="18"/>
  <c r="AM441" i="18" s="1"/>
  <c r="AL224" i="18" l="1"/>
  <c r="AM225" i="18"/>
  <c r="AL440" i="18"/>
  <c r="AL223" i="18" l="1"/>
  <c r="AM224" i="18"/>
  <c r="AL439" i="18"/>
  <c r="AM440" i="18"/>
  <c r="W34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3" i="18"/>
  <c r="L183" i="18"/>
  <c r="W338" i="18"/>
  <c r="AL214" i="18" l="1"/>
  <c r="AM214" i="18" s="1"/>
  <c r="AM215" i="18"/>
  <c r="AM431" i="18"/>
  <c r="AL430" i="18"/>
  <c r="W337" i="18"/>
  <c r="AL429" i="18" l="1"/>
  <c r="AM430" i="18"/>
  <c r="W336" i="18"/>
  <c r="AM429" i="18" l="1"/>
  <c r="AL428" i="18"/>
  <c r="D157" i="58"/>
  <c r="AL427" i="18" l="1"/>
  <c r="AM428" i="18"/>
  <c r="M182" i="18"/>
  <c r="L182" i="18"/>
  <c r="AM427" i="18" l="1"/>
  <c r="AL426" i="18"/>
  <c r="M181" i="18"/>
  <c r="L181" i="18"/>
  <c r="F99" i="63"/>
  <c r="C99" i="63"/>
  <c r="I99" i="63" l="1"/>
  <c r="G99" i="63"/>
  <c r="H99" i="63"/>
  <c r="K99" i="63" s="1"/>
  <c r="AL425" i="18"/>
  <c r="AM426" i="18"/>
  <c r="L178" i="18"/>
  <c r="M178" i="18"/>
  <c r="L179" i="18"/>
  <c r="M179" i="18"/>
  <c r="L180" i="18"/>
  <c r="M180" i="18"/>
  <c r="L187" i="18"/>
  <c r="M187" i="18"/>
  <c r="P41" i="18"/>
  <c r="L99" i="63" l="1"/>
  <c r="AM425" i="18"/>
  <c r="AL424" i="18"/>
  <c r="O348" i="52"/>
  <c r="G132" i="18"/>
  <c r="J132" i="18" s="1"/>
  <c r="W335" i="18"/>
  <c r="AL423" i="18" l="1"/>
  <c r="AM424" i="18"/>
  <c r="G102" i="18"/>
  <c r="G101" i="18"/>
  <c r="J125" i="18"/>
  <c r="G124" i="18"/>
  <c r="J124" i="18" s="1"/>
  <c r="W334" i="18"/>
  <c r="J347" i="52"/>
  <c r="AM423" i="18" l="1"/>
  <c r="AL422" i="18"/>
  <c r="I127" i="18"/>
  <c r="L177" i="18"/>
  <c r="M177" i="18"/>
  <c r="M176" i="18"/>
  <c r="L176" i="18"/>
  <c r="W333" i="18"/>
  <c r="AM422" i="18" l="1"/>
  <c r="AL421" i="18"/>
  <c r="F123" i="63"/>
  <c r="C123" i="63"/>
  <c r="W332" i="18"/>
  <c r="I123" i="63" l="1"/>
  <c r="G123" i="63"/>
  <c r="AM421" i="18"/>
  <c r="AL420" i="18"/>
  <c r="H123" i="63"/>
  <c r="K123" i="63" s="1"/>
  <c r="AL419" i="18" l="1"/>
  <c r="AM420" i="18"/>
  <c r="AL418" i="18" l="1"/>
  <c r="AM419" i="18"/>
  <c r="W331" i="18" l="1"/>
  <c r="G113" i="63" l="1"/>
  <c r="H113" i="63"/>
  <c r="I113" i="63"/>
  <c r="G114" i="63"/>
  <c r="H114" i="63"/>
  <c r="I114" i="63"/>
  <c r="G112" i="63"/>
  <c r="H112" i="63"/>
  <c r="I112" i="63"/>
  <c r="G111" i="63"/>
  <c r="H111" i="63"/>
  <c r="I111" i="63"/>
  <c r="G110" i="63"/>
  <c r="H110" i="63"/>
  <c r="I110" i="63"/>
  <c r="G108" i="63"/>
  <c r="H108" i="63"/>
  <c r="I108" i="63"/>
  <c r="G107" i="63"/>
  <c r="H107" i="63"/>
  <c r="I107" i="63"/>
  <c r="K115" i="63" l="1"/>
  <c r="L123" i="63"/>
  <c r="K114" i="63"/>
  <c r="M123" i="63"/>
  <c r="M124" i="63" s="1"/>
  <c r="K111" i="63"/>
  <c r="K113" i="63"/>
  <c r="K108" i="63"/>
  <c r="K112" i="63"/>
  <c r="W330" i="18"/>
  <c r="N122" i="63" l="1"/>
  <c r="N123" i="63"/>
  <c r="M125" i="63"/>
  <c r="W329" i="18"/>
  <c r="M126" i="63" l="1"/>
  <c r="N124" i="63"/>
  <c r="W328" i="18"/>
  <c r="N348" i="52"/>
  <c r="M127" i="63" l="1"/>
  <c r="N125" i="63"/>
  <c r="W327" i="18"/>
  <c r="M128" i="63" l="1"/>
  <c r="N126" i="63"/>
  <c r="N127" i="63" l="1"/>
  <c r="M129" i="63"/>
  <c r="L80" i="63"/>
  <c r="M130" i="63" l="1"/>
  <c r="N128" i="63"/>
  <c r="K131" i="63" l="1"/>
  <c r="N129" i="63"/>
  <c r="O333" i="52"/>
  <c r="K132" i="63" l="1"/>
  <c r="N130" i="63"/>
  <c r="K133" i="63" l="1"/>
  <c r="L131" i="63"/>
  <c r="J333" i="52"/>
  <c r="K134" i="63" l="1"/>
  <c r="L132" i="63"/>
  <c r="J332" i="52"/>
  <c r="K135" i="63" l="1"/>
  <c r="L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6" i="63"/>
  <c r="L134" i="63"/>
  <c r="P343" i="52"/>
  <c r="P341" i="52"/>
  <c r="P340" i="52"/>
  <c r="P338" i="52"/>
  <c r="P337" i="52"/>
  <c r="P349" i="52"/>
  <c r="P363" i="52"/>
  <c r="P355" i="52"/>
  <c r="P339" i="52"/>
  <c r="P332" i="52"/>
  <c r="P334" i="52"/>
  <c r="P331" i="52"/>
  <c r="J327" i="52"/>
  <c r="O327" i="52"/>
  <c r="K137" i="63" l="1"/>
  <c r="L135" i="63"/>
  <c r="M80" i="63"/>
  <c r="K138" i="63" l="1"/>
  <c r="L137" i="63" s="1"/>
  <c r="L136"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7" i="18" l="1"/>
  <c r="G144" i="18" l="1"/>
  <c r="J144"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3" i="18"/>
  <c r="D413" i="15" l="1"/>
  <c r="F414" i="15"/>
  <c r="D412" i="15" l="1"/>
  <c r="F413" i="15"/>
  <c r="W321" i="18"/>
  <c r="O301" i="52"/>
  <c r="J143" i="18"/>
  <c r="J146" i="18" l="1"/>
  <c r="L43" i="18" s="1"/>
  <c r="F412" i="15"/>
  <c r="D411" i="15"/>
  <c r="I146"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P26" i="18"/>
  <c r="N26" i="18" s="1"/>
  <c r="O298" i="52"/>
  <c r="D407" i="15" l="1"/>
  <c r="F408" i="15"/>
  <c r="J298" i="52"/>
  <c r="F407" i="15" l="1"/>
  <c r="D406" i="15"/>
  <c r="O297" i="52"/>
  <c r="W312" i="18"/>
  <c r="W311" i="18"/>
  <c r="W310" i="18"/>
  <c r="T437" i="18" l="1"/>
  <c r="T439"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55"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6" i="18"/>
  <c r="J152" i="18" l="1"/>
  <c r="I156"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6" i="18" s="1"/>
  <c r="W257" i="18"/>
  <c r="O177" i="52"/>
  <c r="J177" i="52"/>
  <c r="M101" i="18" l="1"/>
  <c r="G167"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J138" i="18"/>
  <c r="I138" i="18" s="1"/>
  <c r="G131" i="18"/>
  <c r="J131" i="18" s="1"/>
  <c r="J133" i="18" s="1"/>
  <c r="I13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2"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J442" i="18"/>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6" i="18"/>
  <c r="S77" i="18" s="1"/>
  <c r="S78" i="18" s="1"/>
  <c r="R164" i="18"/>
  <c r="R162" i="18"/>
  <c r="D57" i="51"/>
  <c r="AL117" i="18" l="1"/>
  <c r="AM118" i="18"/>
  <c r="S79" i="18"/>
  <c r="S80" i="18" s="1"/>
  <c r="AM117" i="18" l="1"/>
  <c r="AL116" i="18"/>
  <c r="S81" i="18"/>
  <c r="S82" i="18" s="1"/>
  <c r="N28" i="18"/>
  <c r="Q95"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5"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59" i="18"/>
  <c r="R175" i="18" s="1"/>
  <c r="AJ256" i="18"/>
  <c r="AJ257" i="18" s="1"/>
  <c r="G305" i="20"/>
  <c r="I306" i="20"/>
  <c r="K306" i="20"/>
  <c r="J306" i="20"/>
  <c r="AL74" i="18"/>
  <c r="AM75" i="18"/>
  <c r="T419" i="18" l="1"/>
  <c r="V422" i="18" s="1"/>
  <c r="U432" i="18"/>
  <c r="V432" i="18" s="1"/>
  <c r="G304" i="20"/>
  <c r="I305" i="20"/>
  <c r="K305" i="20"/>
  <c r="J305" i="20"/>
  <c r="AL73" i="18"/>
  <c r="AM74" i="18"/>
  <c r="R99" i="18"/>
  <c r="V134" i="18" l="1"/>
  <c r="V133" i="18"/>
  <c r="V62" i="18"/>
  <c r="V70" i="18"/>
  <c r="V60" i="18"/>
  <c r="V61" i="18"/>
  <c r="V69" i="18"/>
  <c r="V59" i="18"/>
  <c r="V58" i="18"/>
  <c r="V57" i="18"/>
  <c r="V53" i="18"/>
  <c r="V54" i="18"/>
  <c r="V55" i="18"/>
  <c r="V56" i="18"/>
  <c r="V51" i="18"/>
  <c r="V52" i="18"/>
  <c r="V50" i="18"/>
  <c r="V47" i="18"/>
  <c r="V48" i="18"/>
  <c r="V49" i="18"/>
  <c r="V92" i="18"/>
  <c r="W144"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6"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3" i="18" l="1"/>
  <c r="X133" i="18"/>
  <c r="W134" i="18"/>
  <c r="X134"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5" i="18"/>
  <c r="G302" i="20"/>
  <c r="K303" i="20"/>
  <c r="I303" i="20"/>
  <c r="J303" i="20"/>
  <c r="X26" i="18"/>
  <c r="W81" i="18"/>
  <c r="X81" i="18"/>
  <c r="W25" i="18"/>
  <c r="X25" i="18"/>
  <c r="X24" i="18"/>
  <c r="W80" i="18"/>
  <c r="X80" i="18"/>
  <c r="W23" i="18"/>
  <c r="W79" i="18"/>
  <c r="X79" i="18"/>
  <c r="W78" i="18"/>
  <c r="X78" i="18"/>
  <c r="N31" i="18"/>
  <c r="W143" i="18"/>
  <c r="W152" i="18" s="1"/>
  <c r="X77" i="18"/>
  <c r="W77" i="18"/>
  <c r="W22" i="18"/>
  <c r="X22" i="18"/>
  <c r="W20" i="18"/>
  <c r="X20" i="18"/>
  <c r="W103" i="18"/>
  <c r="X103" i="18"/>
  <c r="W21" i="18"/>
  <c r="X21" i="18"/>
  <c r="AL71" i="18"/>
  <c r="AM72" i="18"/>
  <c r="G168" i="18" l="1"/>
  <c r="I168" i="18"/>
  <c r="I169" i="18"/>
  <c r="G169" i="18"/>
  <c r="N55" i="18"/>
  <c r="L21" i="18"/>
  <c r="W15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S127" i="18" s="1"/>
  <c r="S128" i="18" s="1"/>
  <c r="S129" i="18" s="1"/>
  <c r="S130" i="18" s="1"/>
  <c r="S131" i="18" s="1"/>
  <c r="S132" i="18" s="1"/>
  <c r="V124" i="18"/>
  <c r="G59" i="20"/>
  <c r="J60" i="20"/>
  <c r="I60" i="20"/>
  <c r="K60" i="20"/>
  <c r="F54" i="15"/>
  <c r="V125" i="18" l="1"/>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<sst xmlns="http://schemas.openxmlformats.org/spreadsheetml/2006/main" count="14419" uniqueCount="5797">
  <si>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</si>
  <si>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</si>
  <si>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</si>
  <si>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</si>
  <si>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</si>
  <si>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</si>
  <si>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</si>
  <si>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</si>
  <si>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</si>
  <si>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</si>
  <si>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</si>
  <si>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</si>
  <si>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</si>
  <si>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</si>
  <si>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</si>
  <si>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</si>
  <si>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</si>
  <si>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</si>
  <si>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</si>
  <si>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</si>
  <si>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</si>
  <si>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</si>
  <si>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</si>
  <si>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</si>
  <si>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</si>
  <si>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</si>
  <si>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</si>
  <si>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</si>
  <si>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</si>
  <si>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</si>
  <si>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</si>
  <si>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</si>
  <si>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</si>
  <si>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</si>
  <si>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</si>
  <si>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</si>
  <si>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</si>
  <si>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</si>
  <si>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</si>
  <si>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</si>
  <si>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</si>
  <si>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</si>
  <si>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</si>
  <si>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</si>
  <si>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</si>
  <si>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</si>
  <si>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</si>
  <si>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</si>
  <si>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</si>
  <si>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</si>
  <si>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</si>
  <si>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</si>
  <si>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</si>
  <si>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</si>
  <si>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</si>
  <si>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</si>
  <si>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</si>
  <si>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</si>
  <si>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</si>
  <si>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</si>
  <si>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</si>
  <si>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</si>
  <si>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</si>
  <si>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</si>
  <si>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</si>
  <si>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</si>
  <si>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</si>
  <si>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</si>
  <si>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</si>
  <si>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</si>
  <si>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</si>
  <si>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</si>
  <si>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</si>
  <si>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</si>
  <si>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</si>
  <si>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</si>
  <si>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</si>
  <si>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</si>
  <si>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</si>
  <si>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</si>
  <si>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</si>
  <si>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</si>
  <si>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</si>
  <si>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</si>
  <si>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</si>
  <si>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</si>
  <si>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</si>
  <si>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</si>
  <si>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</si>
  <si>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</si>
  <si>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</si>
  <si>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</si>
  <si>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</si>
  <si>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</si>
  <si>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</si>
  <si>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</si>
  <si>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</si>
  <si>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</si>
  <si>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</si>
  <si>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</si>
  <si>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</si>
  <si>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</si>
  <si>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</si>
  <si>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</si>
  <si>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</si>
  <si>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</si>
  <si>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</si>
  <si>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</si>
  <si>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</si>
  <si>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</si>
  <si>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</si>
  <si>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</si>
  <si>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</si>
  <si>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</si>
  <si>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</si>
  <si>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</si>
  <si>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</si>
  <si>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</si>
  <si>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</si>
  <si>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</si>
  <si>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</si>
  <si>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</si>
  <si>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</si>
  <si>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</si>
  <si>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</si>
  <si>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</si>
  <si>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</si>
  <si>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</si>
  <si>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</si>
  <si>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</si>
  <si>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</si>
  <si>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</si>
  <si>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</si>
  <si>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</si>
  <si>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</si>
  <si>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</si>
  <si>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</si>
  <si>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</si>
  <si>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</si>
  <si>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</si>
  <si>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</si>
  <si>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</si>
  <si>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</si>
  <si>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</si>
  <si>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</si>
  <si>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</si>
  <si>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</si>
  <si>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</si>
  <si>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</si>
  <si>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</si>
  <si>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</si>
  <si>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</si>
  <si>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</si>
  <si>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</si>
  <si>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</si>
  <si>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</si>
  <si>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</si>
  <si>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</si>
  <si>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</si>
  <si>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</si>
  <si>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</si>
  <si>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</si>
  <si>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</si>
  <si>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</si>
  <si>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</si>
  <si>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</si>
  <si>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</si>
  <si>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</si>
  <si>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</si>
  <si>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</si>
  <si>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</si>
  <si>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</si>
  <si>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</si>
  <si>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</si>
  <si>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</si>
  <si>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</si>
  <si>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</si>
  <si>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</si>
  <si>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</si>
  <si>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</si>
  <si>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</si>
  <si>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</si>
  <si>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</si>
  <si>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</si>
  <si>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</si>
  <si>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</si>
  <si>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</si>
  <si>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</si>
  <si>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</si>
  <si>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</si>
  <si>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</si>
  <si>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</si>
  <si>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</si>
  <si>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</si>
  <si>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</si>
  <si>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</si>
  <si>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</si>
  <si>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</si>
  <si>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</si>
  <si>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</si>
  <si>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</si>
  <si>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</si>
  <si>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</si>
  <si>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</si>
  <si>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</si>
  <si>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</si>
  <si>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</si>
  <si>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</si>
  <si>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</si>
  <si>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</si>
  <si>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</si>
  <si>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</si>
  <si>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</si>
  <si>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</si>
  <si>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</si>
  <si>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</si>
  <si>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</si>
  <si>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</si>
  <si>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</si>
  <si>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</si>
  <si>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</si>
  <si>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</si>
  <si>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</si>
  <si>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</si>
  <si>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</si>
  <si>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</si>
  <si>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</si>
  <si>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</si>
  <si>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</si>
  <si>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</si>
  <si>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</si>
  <si>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</si>
  <si>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</si>
  <si>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</si>
  <si>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</si>
  <si>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</si>
  <si>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</si>
  <si>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</si>
  <si>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</si>
  <si>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</si>
  <si>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</si>
  <si>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</si>
  <si>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</si>
  <si>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</si>
  <si>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</si>
  <si>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</si>
  <si>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</si>
  <si>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</si>
  <si>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</si>
  <si>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</si>
  <si>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</si>
  <si>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</si>
  <si>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</si>
  <si>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</si>
  <si>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</si>
  <si>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</si>
  <si>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</si>
  <si>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</si>
  <si>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</si>
  <si>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</si>
  <si>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</si>
  <si>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</si>
  <si>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</si>
  <si>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</si>
  <si>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</si>
  <si>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</si>
  <si>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</si>
  <si>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</si>
  <si>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</si>
  <si>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</si>
  <si>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</si>
  <si>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</si>
  <si>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</si>
  <si>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</si>
  <si>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</si>
  <si>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</si>
  <si>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</si>
  <si>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</si>
  <si>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</si>
  <si>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</si>
  <si>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</si>
  <si>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</si>
  <si>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</si>
  <si>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</si>
  <si>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</si>
  <si>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</si>
  <si>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</si>
  <si>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</si>
  <si>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</si>
  <si>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</si>
  <si>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</si>
  <si>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</si>
  <si>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</si>
  <si>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</si>
  <si>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</si>
  <si>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</si>
  <si>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</si>
  <si>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</si>
  <si>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</si>
  <si>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</si>
  <si>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</si>
  <si>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</si>
  <si>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</si>
  <si>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</si>
  <si>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</si>
  <si>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</si>
  <si>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</si>
  <si>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</si>
  <si>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</si>
  <si>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</si>
  <si>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</si>
  <si>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</si>
  <si>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</si>
  <si>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</si>
  <si>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</si>
  <si>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</si>
  <si>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</si>
  <si>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</si>
  <si>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</si>
  <si>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</si>
  <si>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</si>
  <si>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</si>
  <si>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</si>
  <si>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</si>
  <si>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</si>
  <si>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</si>
  <si>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</si>
  <si>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</si>
  <si>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</si>
  <si>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</si>
  <si>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</si>
  <si>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</si>
  <si>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</si>
  <si>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</si>
  <si>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</si>
  <si>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</si>
  <si>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</si>
  <si>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</si>
  <si>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</si>
  <si>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</si>
  <si>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</si>
  <si>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</si>
  <si>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</si>
  <si>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</si>
  <si>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</si>
  <si>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</si>
  <si>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</si>
  <si>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</si>
  <si>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</si>
  <si>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</si>
  <si>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</si>
  <si>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</si>
  <si>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</si>
  <si>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</si>
  <si>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</si>
  <si>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</si>
  <si>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</si>
  <si>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</si>
  <si>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</si>
  <si>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</si>
  <si>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</si>
  <si>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</si>
  <si>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</si>
  <si>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</si>
  <si>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</si>
  <si>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</si>
  <si>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</si>
  <si>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</si>
  <si>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</si>
  <si>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</si>
  <si>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</si>
  <si>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</si>
  <si>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</si>
  <si>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</si>
  <si>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</si>
  <si>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</si>
  <si>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</si>
  <si>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</si>
  <si>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</si>
  <si>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</si>
  <si>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</si>
  <si>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</si>
  <si>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</si>
  <si>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</si>
  <si>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</si>
  <si>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</si>
  <si>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</si>
  <si>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</si>
  <si>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</si>
  <si>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</si>
  <si>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</si>
  <si>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</si>
  <si>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</si>
  <si>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</si>
  <si>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</si>
  <si>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</si>
  <si>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</si>
  <si>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</si>
  <si>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</si>
  <si>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</si>
  <si>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</si>
  <si>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</si>
  <si>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</si>
  <si>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</si>
  <si>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</si>
  <si>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</si>
  <si>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</si>
  <si>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</si>
  <si>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</si>
  <si>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</si>
  <si>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</si>
  <si>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</si>
  <si>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</si>
  <si>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</si>
  <si>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</si>
  <si>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</si>
  <si>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</si>
  <si>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</si>
  <si>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</si>
  <si>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</si>
  <si>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</si>
  <si>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</si>
  <si>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</si>
  <si>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</si>
  <si>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</si>
  <si>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</si>
  <si>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</si>
  <si>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</si>
  <si>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</si>
  <si>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</si>
  <si>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</si>
  <si>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</si>
  <si>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</si>
  <si>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</si>
  <si>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</si>
  <si>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</si>
  <si>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</si>
  <si>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</si>
  <si>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</si>
  <si>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</si>
  <si>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</si>
  <si>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</si>
  <si>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</si>
  <si>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</si>
  <si>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</si>
  <si>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</si>
  <si>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</si>
  <si>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</si>
  <si>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</si>
  <si>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</si>
  <si>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</si>
  <si>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</si>
  <si>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</si>
  <si>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</si>
  <si>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</si>
  <si>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</si>
  <si>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</si>
  <si>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</si>
  <si>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</si>
  <si>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</si>
  <si>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</si>
  <si>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</si>
  <si>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</si>
  <si>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</si>
  <si>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</si>
  <si>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</si>
  <si>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</si>
  <si>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</si>
  <si>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</si>
  <si>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</si>
  <si>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</si>
  <si>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</si>
  <si>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</si>
  <si>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</si>
  <si>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</si>
  <si>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</si>
  <si>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</si>
  <si>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</si>
  <si>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</si>
  <si>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</si>
  <si>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</si>
  <si>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</si>
  <si>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</si>
  <si>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</si>
  <si>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</si>
  <si>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</si>
  <si>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</si>
  <si>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</si>
  <si>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</si>
  <si>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</si>
  <si>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</si>
  <si>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</si>
  <si>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</si>
  <si>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</si>
  <si>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</si>
  <si>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</si>
  <si>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</si>
  <si>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</si>
  <si>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</si>
  <si>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</si>
  <si>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</si>
  <si>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</si>
  <si>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</si>
  <si>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</si>
  <si>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</si>
  <si>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</si>
  <si>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</si>
  <si>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</si>
  <si>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</si>
  <si>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</si>
  <si>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</si>
  <si>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</si>
  <si>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</si>
  <si>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</si>
  <si>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</si>
  <si>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</si>
  <si>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</si>
  <si>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</si>
  <si>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</si>
  <si>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</si>
  <si>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</si>
  <si>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</si>
  <si>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</si>
  <si>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</si>
  <si>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</si>
  <si>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</si>
  <si>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</si>
  <si>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</si>
  <si>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</si>
  <si>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</si>
  <si>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</si>
  <si>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</si>
  <si>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</si>
  <si>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</si>
  <si>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</si>
  <si>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</si>
  <si>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</si>
  <si>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</si>
  <si>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</si>
  <si>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</si>
  <si>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</si>
  <si>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</si>
  <si>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</si>
  <si>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</si>
  <si>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</si>
  <si>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</si>
  <si>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</si>
  <si>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</si>
  <si>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</si>
  <si>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</si>
  <si>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</si>
  <si>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</si>
  <si>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</si>
  <si>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</si>
  <si>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</si>
  <si>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</si>
  <si>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</si>
  <si>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</si>
  <si>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</si>
  <si>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</si>
  <si>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</si>
  <si>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</si>
  <si>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</si>
  <si>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</si>
  <si>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</si>
  <si>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</si>
  <si>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</si>
  <si>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</si>
  <si>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</si>
  <si>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</si>
  <si>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</si>
  <si>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</si>
  <si>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</si>
  <si>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</si>
  <si>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</si>
  <si>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</si>
  <si>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</si>
  <si>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</si>
  <si>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</si>
  <si>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</si>
  <si>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</si>
  <si>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</si>
  <si>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</si>
  <si>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</si>
  <si>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</si>
  <si>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</si>
  <si>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</si>
  <si>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</si>
  <si>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</si>
  <si>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</si>
  <si>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</si>
  <si>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</si>
  <si>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</si>
  <si>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</si>
  <si>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</si>
  <si>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</si>
  <si>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</si>
  <si>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</si>
  <si>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</si>
  <si>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</si>
  <si>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</si>
  <si>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</si>
  <si>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</si>
  <si>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</si>
  <si>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</si>
  <si>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</si>
  <si>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</si>
  <si>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</si>
  <si>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</si>
  <si>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</si>
  <si>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</si>
  <si>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</si>
  <si>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</si>
  <si>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</si>
  <si>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</si>
  <si>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</si>
  <si>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</si>
  <si>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</si>
  <si>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</si>
  <si>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</si>
  <si>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</si>
  <si>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</si>
  <si>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</si>
  <si>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</si>
  <si>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</si>
  <si>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</si>
  <si>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</si>
  <si>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</si>
  <si>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</si>
  <si>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</si>
  <si>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</si>
  <si>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</si>
  <si>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</si>
  <si>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</si>
  <si>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</si>
  <si>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</si>
  <si>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</si>
  <si>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</si>
  <si>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</si>
  <si>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</si>
  <si>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</si>
  <si>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</si>
  <si>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</si>
  <si>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</si>
  <si>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</si>
  <si>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</si>
  <si>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</si>
  <si>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</si>
  <si>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</si>
  <si>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</si>
  <si>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</si>
  <si>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</si>
  <si>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</si>
  <si>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</si>
  <si>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</si>
  <si>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</si>
  <si>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</si>
  <si>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</si>
  <si>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</si>
  <si>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</si>
  <si>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</si>
  <si>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</si>
  <si>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</si>
  <si>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</si>
  <si>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</si>
  <si>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</si>
  <si>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</si>
  <si>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</si>
  <si>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</si>
  <si>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</si>
  <si>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</si>
  <si>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</si>
  <si>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</si>
  <si>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</si>
  <si>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</si>
  <si>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</si>
  <si>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</si>
  <si>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</si>
  <si>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</si>
  <si>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</si>
  <si>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</si>
  <si>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</si>
  <si>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</si>
  <si>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</si>
  <si>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</si>
  <si>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</si>
  <si>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</si>
  <si>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</si>
  <si>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</si>
  <si>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</si>
  <si>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</si>
  <si>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</si>
  <si>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</si>
  <si>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</si>
  <si>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</si>
  <si>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</si>
  <si>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</si>
  <si>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</si>
  <si>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</si>
  <si>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</si>
  <si>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</si>
  <si>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</si>
  <si>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</si>
  <si>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</si>
  <si>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</si>
  <si>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</si>
  <si>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</si>
  <si>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</si>
  <si>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</si>
  <si>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</si>
  <si>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</si>
  <si>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</si>
  <si>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</si>
  <si>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</si>
  <si>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</si>
  <si>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</si>
  <si>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</si>
  <si>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</si>
  <si>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</si>
  <si>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</si>
  <si>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</si>
  <si>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</si>
  <si>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</si>
  <si>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</si>
  <si>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</si>
  <si>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</si>
  <si>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</si>
  <si>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</si>
  <si>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</si>
  <si>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</si>
  <si>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</si>
  <si>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</si>
  <si>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</si>
  <si>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</si>
  <si>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</si>
  <si>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</si>
  <si>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</si>
  <si>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</si>
  <si>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</si>
  <si>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</si>
  <si>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</si>
  <si>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</si>
  <si>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</si>
  <si>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</si>
  <si>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</si>
  <si>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</si>
  <si>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</si>
  <si>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</si>
  <si>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</si>
  <si>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</si>
  <si>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</si>
  <si>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</si>
  <si>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</si>
  <si>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</si>
  <si>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</si>
  <si>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</si>
  <si>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</si>
  <si>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</si>
  <si>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</si>
  <si>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</si>
  <si>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</si>
  <si>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</si>
  <si>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</si>
  <si>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</si>
  <si>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</si>
  <si>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</si>
  <si>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</si>
  <si>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</si>
  <si>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</si>
  <si>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</si>
  <si>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</si>
  <si>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</si>
  <si>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</si>
  <si>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</si>
  <si>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</si>
  <si>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</si>
  <si>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</si>
  <si>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</si>
  <si>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</si>
  <si>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</si>
  <si>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</si>
  <si>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</si>
  <si>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</si>
  <si>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</si>
  <si>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</si>
  <si>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</si>
  <si>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</si>
  <si>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</si>
  <si>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</si>
  <si>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</si>
  <si>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</si>
  <si>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</si>
  <si>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</si>
  <si>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</si>
  <si>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</si>
  <si>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</si>
  <si>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</si>
  <si>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</si>
  <si>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</si>
  <si>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</si>
  <si>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</si>
  <si>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</si>
  <si>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</si>
  <si>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</si>
  <si>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</si>
  <si>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</si>
  <si>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</si>
  <si>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</si>
  <si>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</si>
  <si>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</si>
  <si>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</si>
  <si>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</si>
  <si>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</si>
  <si>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</si>
  <si>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</si>
  <si>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</si>
  <si>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</si>
  <si>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</si>
  <si>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</si>
  <si>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</si>
  <si>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</si>
  <si>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</si>
  <si>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</si>
  <si>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</si>
  <si>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</si>
  <si>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</si>
  <si>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</si>
  <si>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</si>
  <si>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</si>
  <si>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</si>
  <si>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</si>
  <si>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</si>
  <si>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</si>
  <si>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</si>
  <si>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</si>
  <si>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</si>
  <si>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</si>
  <si>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</si>
  <si>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</si>
  <si>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</si>
  <si>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</si>
  <si>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</si>
  <si>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</si>
  <si>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</si>
  <si>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</si>
  <si>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</si>
  <si>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</si>
  <si>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</si>
  <si>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</si>
  <si>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</si>
  <si>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</si>
  <si>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</si>
  <si>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</si>
  <si>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</si>
  <si>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</si>
  <si>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</si>
  <si>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</si>
  <si>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</si>
  <si>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</si>
  <si>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</si>
  <si>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</si>
  <si>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</si>
  <si>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</si>
  <si>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</si>
  <si>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</si>
  <si>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</si>
  <si>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</si>
  <si>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</si>
  <si>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</si>
  <si>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</si>
  <si>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</si>
  <si>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</si>
  <si>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</si>
  <si>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</si>
  <si>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</si>
  <si>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</si>
  <si>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</si>
  <si>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</si>
  <si>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</si>
  <si>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</si>
  <si>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</si>
  <si>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</si>
  <si>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</si>
  <si>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</si>
  <si>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</si>
  <si>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</si>
  <si>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</si>
  <si>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</si>
  <si>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</si>
  <si>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</si>
  <si>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</si>
  <si>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</si>
  <si>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</si>
  <si>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</si>
  <si>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</si>
  <si>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</si>
  <si>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</si>
  <si>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</si>
  <si>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</si>
  <si>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</si>
  <si>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</si>
  <si>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</si>
  <si>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</si>
  <si>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</si>
  <si>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</si>
  <si>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</si>
  <si>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</si>
  <si>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</si>
  <si>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</si>
  <si>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</si>
  <si>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</si>
  <si>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</si>
  <si>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</si>
  <si>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</si>
  <si>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</si>
  <si>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</si>
  <si>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</si>
  <si>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</si>
  <si>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</si>
  <si>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</si>
  <si>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</si>
  <si>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</si>
  <si>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</si>
  <si>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</si>
  <si>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</si>
  <si>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</si>
  <si>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</si>
  <si>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</si>
  <si>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</si>
  <si>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</si>
  <si>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</si>
  <si>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</si>
  <si>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</si>
  <si>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</si>
  <si>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</si>
  <si>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</si>
  <si>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</si>
  <si>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</si>
  <si>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</si>
  <si>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</si>
  <si>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</si>
  <si>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</si>
  <si>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</si>
  <si>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</si>
  <si>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</si>
  <si>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</si>
  <si>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</si>
  <si>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</si>
  <si>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</si>
  <si>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</si>
  <si>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</si>
  <si>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</si>
  <si>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</si>
  <si>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</si>
  <si>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</si>
  <si>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</si>
  <si>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</si>
  <si>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</si>
  <si>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</si>
  <si>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</si>
  <si>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</si>
  <si>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</si>
  <si>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</si>
  <si>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</si>
  <si>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</si>
  <si>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</si>
  <si>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</si>
  <si>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</si>
  <si>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</si>
  <si>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</si>
  <si>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</si>
  <si>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</si>
  <si>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</si>
  <si>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</si>
  <si>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</si>
  <si>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</si>
  <si>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</si>
  <si>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</si>
  <si>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</si>
  <si>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</si>
  <si>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</si>
  <si>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</si>
  <si>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</si>
  <si>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</si>
  <si>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</si>
  <si>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</si>
  <si>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</si>
  <si>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</si>
  <si>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</si>
  <si>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</si>
  <si>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</si>
  <si>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</si>
  <si>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</si>
  <si>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</si>
  <si>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</si>
  <si>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</si>
  <si>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</si>
  <si>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</si>
  <si>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</si>
  <si>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</si>
  <si>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</si>
  <si>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</si>
  <si>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</si>
  <si>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</si>
  <si>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</si>
  <si>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</si>
  <si>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</si>
  <si>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</si>
  <si>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</si>
  <si>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</si>
  <si>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</si>
  <si>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</si>
  <si>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</si>
  <si>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</si>
  <si>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</si>
  <si>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</si>
  <si>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</si>
  <si>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</si>
  <si>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</si>
  <si>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</si>
  <si>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</si>
  <si>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</si>
  <si>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</si>
  <si>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</si>
  <si>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</si>
  <si>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</si>
  <si>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</si>
  <si>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</si>
  <si>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</si>
  <si>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</si>
  <si>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</si>
  <si>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</si>
  <si>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</si>
  <si>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</si>
  <si>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</si>
  <si>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</si>
  <si>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</si>
  <si>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</si>
  <si>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</si>
  <si>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</si>
  <si>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</si>
  <si>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</si>
  <si>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</si>
  <si>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</si>
  <si>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</si>
  <si>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</si>
  <si>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</si>
  <si>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</si>
  <si>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</si>
  <si>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</si>
  <si>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</si>
  <si>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</si>
  <si>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</si>
  <si>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</si>
  <si>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</si>
  <si>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</si>
  <si>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</si>
  <si>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</si>
  <si>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</si>
  <si>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</si>
  <si>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</si>
  <si>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</si>
  <si>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</si>
  <si>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</si>
  <si>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</si>
  <si>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</si>
  <si>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</si>
  <si>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</si>
  <si>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</si>
  <si>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</si>
  <si>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</si>
  <si>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</si>
  <si>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</si>
  <si>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</si>
  <si>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</si>
  <si>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</si>
  <si>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</si>
  <si>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</si>
  <si>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</si>
  <si>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</si>
  <si>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</si>
  <si>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</si>
  <si>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</si>
  <si>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</si>
  <si>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</si>
  <si>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</si>
  <si>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</si>
  <si>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</si>
  <si>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</si>
  <si>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</si>
  <si>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</si>
  <si>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</si>
  <si>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</si>
  <si>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</si>
  <si>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</si>
  <si>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</si>
  <si>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</si>
  <si>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</si>
  <si>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</si>
  <si>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</si>
  <si>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</si>
  <si>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</si>
  <si>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</si>
  <si>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</si>
  <si>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</si>
  <si>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</si>
  <si>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</si>
  <si>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</si>
  <si>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</si>
  <si>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</si>
  <si>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</si>
  <si>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</si>
  <si>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</si>
  <si>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</si>
  <si>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</si>
  <si>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</si>
  <si>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</si>
  <si>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</si>
  <si>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</si>
  <si>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</si>
  <si>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</si>
  <si>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</si>
  <si>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</si>
  <si>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</si>
  <si>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</si>
  <si>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</si>
  <si>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</si>
  <si>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</si>
  <si>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</si>
  <si>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</si>
  <si>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</si>
  <si>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</si>
  <si>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</si>
  <si>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</si>
  <si>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</si>
  <si>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</si>
  <si>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</si>
  <si>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</si>
  <si>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</si>
  <si>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</si>
  <si>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</si>
  <si>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</si>
  <si>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</si>
  <si>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</si>
  <si>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</si>
  <si>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</si>
  <si>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</si>
  <si>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</si>
  <si>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</si>
  <si>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</si>
  <si>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</si>
  <si>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</si>
  <si>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</si>
  <si>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</si>
  <si>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</si>
  <si>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</si>
  <si>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</si>
  <si>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</si>
  <si>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</si>
  <si>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</si>
  <si>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</si>
  <si>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</si>
  <si>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</si>
  <si>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</si>
  <si>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</si>
  <si>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</si>
  <si>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</si>
  <si>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</si>
  <si>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</si>
  <si>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</si>
  <si>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</si>
  <si>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</si>
  <si>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</si>
  <si>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</si>
  <si>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</si>
  <si>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</si>
  <si>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</si>
  <si>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</si>
  <si>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</si>
  <si>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</si>
  <si>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</si>
  <si>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</si>
  <si>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</si>
  <si>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</si>
  <si>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</si>
  <si>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</si>
  <si>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</si>
  <si>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</si>
  <si>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</si>
  <si>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</si>
  <si>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</si>
  <si>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</si>
  <si>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</si>
  <si>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</si>
  <si>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</si>
  <si>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</si>
  <si>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</si>
  <si>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</si>
  <si>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</si>
  <si>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</si>
  <si>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</si>
  <si>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</si>
  <si>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</si>
  <si>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</si>
  <si>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</si>
  <si>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</si>
  <si>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</si>
  <si>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</si>
  <si>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</si>
  <si>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</si>
  <si>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</si>
  <si>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</si>
  <si>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</si>
  <si>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</si>
  <si>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</si>
  <si>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</si>
  <si>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</si>
  <si>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</si>
  <si>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</si>
  <si>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</si>
  <si>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</si>
  <si>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</si>
  <si>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</si>
  <si>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</si>
  <si>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</si>
  <si>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</si>
  <si>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</si>
  <si>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</si>
  <si>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</si>
  <si>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</si>
  <si>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</si>
  <si>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</si>
  <si>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</si>
  <si>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</si>
  <si>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</si>
  <si>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</si>
  <si>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</si>
  <si>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</si>
  <si>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</si>
  <si>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</si>
  <si>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</si>
  <si>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</si>
  <si>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</si>
  <si>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</si>
  <si>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</si>
  <si>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</si>
  <si>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</si>
  <si>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</si>
  <si>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</si>
  <si>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</si>
  <si>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</si>
  <si>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</si>
  <si>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</si>
  <si>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</si>
  <si>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</si>
  <si>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</si>
  <si>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</si>
  <si>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</si>
  <si>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</si>
  <si>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</si>
  <si>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</si>
  <si>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</si>
  <si>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</si>
  <si>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</si>
  <si>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</si>
  <si>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</si>
  <si>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</si>
  <si>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</si>
  <si>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</si>
  <si>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</si>
  <si>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</si>
  <si>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</si>
  <si>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</si>
  <si>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</si>
  <si>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</si>
  <si>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</si>
  <si>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</si>
  <si>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</si>
  <si>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</si>
  <si>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</si>
  <si>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</si>
  <si>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</si>
  <si>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</si>
  <si>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</si>
  <si>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</si>
  <si>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</si>
  <si>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</si>
  <si>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</si>
  <si>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</si>
  <si>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</si>
  <si>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</si>
  <si>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</si>
  <si>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</si>
  <si>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</si>
  <si>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</si>
  <si>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</si>
  <si>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</si>
  <si>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</si>
  <si>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</si>
  <si>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</si>
  <si>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</si>
  <si>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</si>
  <si>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</si>
  <si>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</si>
  <si>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</si>
  <si>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</si>
  <si>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</si>
  <si>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</si>
  <si>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</si>
  <si>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</si>
  <si>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</si>
  <si>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</si>
  <si>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</si>
  <si>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</si>
  <si>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</si>
  <si>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</si>
  <si>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</si>
  <si>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</si>
  <si>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</si>
  <si>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</si>
  <si>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</si>
  <si>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</si>
  <si>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</si>
  <si>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</si>
  <si>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</si>
  <si>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</si>
  <si>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</si>
  <si>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</si>
  <si>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</si>
  <si>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</si>
  <si>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</si>
  <si>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</si>
  <si>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</si>
  <si>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</si>
  <si>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</si>
  <si>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</si>
  <si>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</si>
  <si>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</si>
  <si>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</si>
  <si>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</si>
  <si>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</si>
  <si>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</si>
  <si>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</si>
  <si>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</si>
  <si>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</si>
  <si>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</si>
  <si>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</si>
  <si>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</si>
  <si>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</si>
  <si>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</si>
  <si>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</si>
  <si>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</si>
  <si>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</si>
  <si>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</si>
  <si>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</si>
  <si>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</si>
  <si>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</si>
  <si>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</si>
  <si>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</si>
  <si>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</si>
  <si>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</si>
  <si>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</si>
  <si>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</si>
  <si>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</si>
  <si>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</si>
  <si>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</si>
  <si>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</si>
  <si>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</si>
  <si>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</si>
  <si>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</si>
  <si>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</si>
  <si>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</si>
  <si>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</si>
  <si>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</si>
  <si>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</si>
  <si>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</si>
  <si>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</si>
  <si>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</si>
  <si>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</si>
  <si>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</si>
  <si>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</si>
  <si>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</si>
  <si>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</si>
  <si>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</si>
  <si>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</si>
  <si>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</si>
  <si>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</si>
  <si>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</si>
  <si>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</si>
  <si>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</si>
  <si>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</si>
  <si>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</si>
  <si>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</si>
  <si>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</si>
  <si>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</si>
  <si>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</si>
  <si>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</si>
  <si>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</si>
  <si>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</si>
  <si>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</si>
  <si>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</si>
  <si>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</si>
  <si>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</si>
  <si>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</si>
  <si>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</si>
  <si>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</si>
  <si>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</si>
  <si>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</si>
  <si>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</si>
  <si>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</si>
  <si>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</si>
  <si>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</si>
  <si>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</si>
  <si>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</si>
  <si>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</si>
  <si>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</si>
  <si>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</si>
  <si>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</si>
  <si>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</si>
  <si>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</si>
  <si>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</si>
  <si>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</si>
  <si>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</si>
  <si>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</si>
  <si>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</si>
  <si>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</si>
  <si>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</si>
  <si>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</si>
  <si>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</si>
  <si>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</si>
  <si>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</si>
  <si>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</si>
  <si>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</si>
  <si>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</si>
  <si>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</si>
  <si>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</si>
  <si>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</si>
  <si>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</si>
  <si>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</si>
  <si>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</si>
  <si>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</si>
  <si>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</si>
  <si>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</si>
  <si>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</si>
  <si>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</si>
  <si>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</si>
  <si>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</si>
  <si>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</si>
  <si>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</si>
  <si>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</si>
  <si>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</si>
  <si>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</si>
  <si>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</si>
  <si>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</si>
  <si>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</si>
  <si>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</si>
  <si>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</si>
  <si>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</si>
  <si>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</si>
  <si>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</si>
  <si>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</si>
  <si>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</si>
  <si>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</si>
  <si>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</si>
  <si>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</si>
  <si>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</si>
  <si>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</si>
  <si>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</si>
  <si>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</si>
  <si>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</si>
  <si>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</si>
  <si>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</si>
  <si>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</si>
  <si>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</si>
  <si>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</si>
  <si>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</si>
  <si>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</si>
  <si>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</si>
  <si>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</si>
  <si>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</si>
  <si>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</si>
  <si>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</si>
  <si>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</si>
  <si>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</si>
  <si>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</si>
  <si>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</si>
  <si>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</si>
  <si>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</si>
  <si>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</si>
  <si>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</si>
  <si>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</si>
  <si>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</si>
  <si>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</si>
  <si>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</si>
  <si>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</si>
  <si>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</si>
  <si>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</si>
  <si>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</si>
  <si>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</si>
  <si>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</si>
  <si>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</si>
  <si>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</si>
  <si>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</si>
  <si>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</si>
  <si>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</si>
  <si>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</si>
  <si>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</si>
  <si>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</si>
  <si>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</si>
  <si>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</si>
  <si>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</si>
  <si>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</si>
  <si>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</si>
  <si>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</si>
  <si>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</si>
  <si>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</si>
  <si>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</si>
  <si>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</si>
  <si>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</si>
  <si>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</si>
  <si>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</si>
  <si>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</si>
  <si>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</si>
  <si>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</si>
  <si>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</si>
  <si>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</si>
  <si>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</si>
  <si>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</si>
  <si>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</si>
  <si>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</si>
  <si>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</si>
  <si>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</si>
  <si>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</si>
  <si>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</si>
  <si>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</si>
  <si>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</si>
  <si>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</si>
  <si>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</si>
  <si>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</si>
  <si>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</si>
  <si>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</si>
  <si>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</si>
  <si>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</si>
  <si>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</si>
  <si>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</si>
  <si>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</si>
  <si>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</si>
  <si>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</si>
  <si>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</si>
  <si>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</si>
  <si>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</si>
  <si>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</si>
  <si>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</si>
  <si>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</si>
  <si>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</si>
  <si>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</si>
  <si>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</si>
  <si>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</si>
  <si>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</si>
  <si>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</si>
  <si>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</si>
  <si>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</si>
  <si>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</si>
  <si>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</si>
  <si>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</si>
  <si>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</si>
  <si>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</si>
  <si>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</si>
  <si>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</si>
  <si>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</si>
  <si>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</si>
  <si>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</si>
  <si>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</si>
  <si>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</si>
  <si>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</si>
  <si>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</si>
  <si>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</si>
  <si>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</si>
  <si>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</si>
  <si>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</si>
  <si>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</si>
  <si>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</si>
  <si>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</si>
  <si>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</si>
  <si>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</si>
  <si>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</si>
  <si>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</si>
  <si>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</si>
  <si>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</si>
  <si>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</si>
  <si>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</si>
  <si>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</si>
  <si>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</si>
  <si>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</si>
  <si>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</si>
  <si>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</si>
  <si>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</si>
  <si>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</si>
  <si>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</si>
  <si>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</si>
  <si>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</si>
  <si>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</si>
  <si>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</si>
  <si>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</si>
  <si>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</si>
  <si>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</si>
  <si>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</si>
  <si>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</si>
  <si>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</si>
  <si>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</si>
  <si>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</si>
  <si>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</si>
  <si>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</si>
  <si>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</si>
  <si>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</si>
  <si>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</si>
  <si>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</si>
  <si>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</si>
  <si>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</si>
  <si>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</si>
  <si>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</si>
  <si>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</si>
  <si>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</si>
  <si>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</si>
  <si>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</si>
  <si>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</si>
  <si>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</si>
  <si>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</si>
  <si>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</si>
  <si>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</si>
  <si>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</si>
  <si>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</si>
  <si>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</si>
  <si>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</si>
  <si>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</si>
  <si>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</si>
  <si>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</si>
  <si>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</si>
  <si>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</si>
  <si>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</si>
  <si>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</si>
  <si>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</si>
  <si>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</si>
  <si>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</si>
  <si>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</si>
  <si>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</si>
  <si>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</si>
  <si>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</si>
  <si>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</si>
  <si>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</si>
  <si>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</si>
  <si>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</si>
  <si>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</si>
  <si>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</si>
  <si>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</si>
  <si>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</si>
  <si>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</si>
  <si>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</si>
  <si>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</si>
  <si>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</si>
  <si>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</si>
  <si>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</si>
  <si>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</si>
  <si>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</si>
  <si>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</si>
  <si>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</si>
  <si>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</si>
  <si>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</si>
  <si>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</si>
  <si>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</si>
  <si>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</si>
  <si>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</si>
  <si>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</si>
  <si>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</si>
  <si>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</si>
  <si>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</si>
  <si>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</si>
  <si>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</si>
  <si>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</si>
  <si>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</si>
  <si>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</si>
  <si>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</si>
  <si>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</si>
  <si>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</si>
  <si>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</si>
  <si>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</si>
  <si>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</si>
  <si>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</si>
  <si>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</si>
  <si>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</si>
  <si>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</si>
  <si>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</si>
  <si>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</si>
  <si>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</si>
  <si>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</si>
  <si>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</si>
  <si>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</si>
  <si>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</si>
  <si>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</si>
  <si>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</si>
  <si>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</si>
  <si>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</si>
  <si>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</si>
  <si>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</si>
  <si>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</si>
  <si>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</si>
  <si>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</si>
  <si>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</si>
  <si>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</si>
  <si>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</si>
  <si>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</si>
  <si>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</si>
  <si>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</si>
  <si>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</si>
  <si>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</si>
  <si>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</si>
  <si>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</si>
  <si>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</si>
  <si>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</si>
  <si>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</si>
  <si>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</si>
  <si>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</si>
  <si>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</si>
  <si>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</si>
  <si>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</si>
  <si>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</si>
  <si>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</si>
  <si>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</si>
  <si>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</si>
  <si>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</si>
  <si>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</si>
  <si>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</si>
  <si>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</si>
  <si>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</si>
  <si>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</si>
  <si>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</si>
  <si>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</si>
  <si>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</si>
  <si>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</si>
  <si>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</si>
  <si>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</si>
  <si>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</si>
  <si>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</si>
  <si>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</si>
  <si>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</si>
  <si>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</si>
  <si>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</si>
  <si>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</si>
  <si>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</si>
  <si>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</si>
  <si>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</si>
  <si>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</si>
  <si>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</si>
  <si>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</si>
  <si>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</si>
  <si>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</si>
  <si>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</si>
  <si>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</si>
  <si>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</si>
  <si>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</si>
  <si>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</si>
  <si>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</si>
  <si>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</si>
  <si>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</si>
  <si>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</si>
  <si>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</si>
  <si>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</si>
  <si>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</si>
  <si>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</si>
  <si>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</si>
  <si>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</si>
  <si>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</si>
  <si>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</si>
  <si>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</si>
  <si>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</si>
  <si>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</si>
  <si>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</si>
  <si>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</si>
  <si>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</si>
  <si>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</si>
  <si>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</si>
  <si>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</si>
  <si>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</si>
  <si>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</si>
  <si>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</si>
  <si>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</si>
  <si>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</si>
  <si>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</si>
  <si>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</si>
  <si>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</si>
  <si>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</si>
  <si>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</si>
  <si>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</si>
  <si>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</si>
  <si>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</si>
  <si>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</si>
  <si>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</si>
  <si>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</si>
  <si>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</si>
  <si>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</si>
  <si>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</si>
  <si>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</si>
  <si>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</si>
  <si>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</si>
  <si>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</si>
  <si>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</si>
  <si>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</si>
  <si>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</si>
  <si>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</si>
  <si>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</si>
  <si>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</si>
  <si>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</si>
  <si>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</si>
  <si>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</si>
  <si>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</si>
  <si>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</si>
  <si>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</si>
  <si>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</si>
  <si>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</si>
  <si>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</si>
  <si>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</si>
  <si>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</si>
  <si>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</si>
  <si>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</si>
  <si>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</si>
  <si>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</si>
  <si>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</si>
  <si>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</si>
  <si>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</si>
  <si>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</si>
  <si>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</si>
  <si>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</si>
  <si>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</si>
  <si>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</si>
  <si>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</si>
  <si>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</si>
  <si>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</si>
  <si>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</si>
  <si>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</si>
  <si>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</si>
  <si>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</si>
  <si>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</si>
  <si>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</si>
  <si>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</si>
  <si>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</si>
  <si>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</si>
  <si>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</si>
  <si>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</si>
  <si>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</si>
  <si>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</si>
  <si>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</si>
  <si>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</si>
  <si>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</si>
  <si>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</si>
  <si>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</si>
  <si>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</si>
  <si>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</si>
  <si>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</si>
  <si>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</si>
  <si>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</si>
  <si>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</si>
  <si>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</si>
  <si>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</si>
  <si>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</si>
  <si>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</si>
  <si>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</si>
  <si>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</si>
  <si>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</si>
  <si>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</si>
  <si>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</si>
  <si>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</si>
  <si>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</si>
  <si>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</si>
  <si>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</si>
  <si>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</si>
  <si>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</si>
  <si>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</si>
  <si>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</si>
  <si>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</si>
  <si>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</si>
  <si>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</si>
  <si>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</si>
  <si>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</si>
  <si>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</si>
  <si>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</si>
  <si>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</si>
  <si>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</si>
  <si>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</si>
  <si>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</si>
  <si>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</si>
  <si>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</si>
  <si>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</si>
  <si>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</si>
  <si>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</si>
  <si>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</si>
  <si>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</si>
  <si>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</si>
  <si>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</si>
  <si>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</si>
  <si>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</si>
  <si>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</si>
  <si>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</si>
  <si>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</si>
  <si>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</si>
  <si>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</si>
  <si>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</si>
  <si>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</si>
  <si>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</si>
  <si>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</si>
  <si>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</si>
  <si>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</si>
  <si>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</si>
  <si>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</si>
  <si>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</si>
  <si>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</si>
  <si>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</si>
  <si>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</si>
  <si>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</si>
  <si>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</si>
  <si>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</si>
  <si>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</si>
  <si>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</si>
  <si>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</si>
  <si>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</si>
  <si>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</si>
  <si>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</si>
  <si>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</si>
  <si>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</si>
  <si>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</si>
  <si>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</si>
  <si>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</si>
  <si>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</si>
  <si>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</si>
  <si>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</si>
  <si>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</si>
  <si>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</si>
  <si>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</si>
  <si>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</si>
  <si>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</si>
  <si>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</si>
  <si>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</si>
  <si>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</si>
  <si>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</si>
  <si>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</si>
  <si>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</si>
  <si>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</si>
  <si>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</si>
  <si>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</si>
  <si>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</si>
  <si>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</si>
  <si>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</si>
  <si>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</si>
  <si>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</si>
  <si>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</si>
  <si>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</si>
  <si>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</si>
  <si>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</si>
  <si>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</si>
  <si>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</si>
  <si>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</si>
  <si>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</si>
  <si>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</si>
  <si>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</si>
  <si>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</si>
  <si>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</si>
  <si>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</si>
  <si>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</si>
  <si>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</si>
  <si>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</si>
  <si>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</si>
  <si>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</si>
  <si>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</si>
  <si>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</si>
  <si>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</si>
  <si>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</si>
  <si>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</si>
  <si>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</si>
  <si>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</si>
  <si>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</si>
  <si>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</si>
  <si>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</si>
  <si>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</si>
  <si>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</si>
  <si>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</si>
  <si>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</si>
  <si>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</si>
  <si>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</si>
  <si>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</si>
  <si>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</si>
  <si>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</si>
  <si>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</si>
  <si>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</si>
  <si>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</si>
  <si>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</si>
  <si>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</si>
  <si>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</si>
  <si>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</si>
  <si>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</si>
  <si>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</si>
  <si>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</si>
  <si>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</si>
  <si>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</si>
  <si>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</si>
  <si>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</si>
  <si>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</si>
  <si>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</si>
  <si>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</si>
  <si>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</si>
  <si>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</si>
  <si>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</si>
  <si>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</si>
  <si>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</si>
  <si>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</si>
  <si>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</si>
  <si>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</si>
  <si>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</si>
  <si>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</si>
  <si>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</si>
  <si>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</si>
  <si>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</si>
  <si>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</si>
  <si>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</si>
  <si>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</si>
  <si>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</si>
  <si>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</si>
  <si>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</si>
  <si>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</si>
  <si>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</si>
  <si>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</si>
  <si>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</si>
  <si>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</si>
  <si>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</si>
  <si>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</si>
  <si>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</si>
  <si>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</si>
  <si>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</si>
  <si>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</si>
  <si>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</si>
  <si>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</si>
  <si>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</si>
  <si>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</si>
  <si>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</si>
  <si>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</si>
  <si>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</si>
  <si>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</si>
  <si>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</si>
  <si>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</si>
  <si>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</si>
  <si>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</si>
  <si>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</si>
  <si>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</si>
  <si>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</si>
  <si>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</si>
  <si>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</si>
  <si>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</si>
  <si>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</si>
  <si>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</si>
  <si>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</si>
  <si>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</si>
  <si>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</si>
  <si>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</si>
  <si>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</si>
  <si>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</si>
  <si>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</si>
  <si>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</si>
  <si>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</si>
  <si>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</si>
  <si>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</si>
  <si>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</si>
  <si>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</si>
  <si>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</si>
  <si>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</si>
  <si>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</si>
  <si>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</si>
  <si>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</si>
  <si>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</si>
  <si>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</si>
  <si>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</si>
  <si>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</si>
  <si>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</si>
  <si>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</si>
  <si>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</si>
  <si>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</si>
  <si>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</si>
  <si>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</si>
  <si>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</si>
  <si>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</si>
  <si>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</si>
  <si>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</si>
  <si>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</si>
  <si>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</si>
  <si>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</si>
  <si>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</si>
  <si>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</si>
  <si>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</si>
  <si>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</si>
  <si>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</si>
  <si>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</si>
  <si>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</si>
  <si>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</si>
  <si>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</si>
  <si>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</si>
  <si>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</si>
  <si>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</si>
  <si>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</si>
  <si>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</si>
  <si>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</si>
  <si>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</si>
  <si>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</si>
  <si>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</si>
  <si>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</si>
  <si>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</si>
  <si>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</si>
  <si>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</si>
  <si>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</si>
  <si>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</si>
  <si>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</si>
  <si>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</si>
  <si>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</si>
  <si>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</si>
  <si>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</si>
  <si>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</si>
  <si>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</si>
  <si>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</si>
  <si>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</si>
  <si>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</si>
  <si>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</si>
  <si>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</si>
  <si>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</si>
  <si>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</si>
  <si>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</si>
  <si>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</si>
  <si>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</si>
  <si>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</si>
  <si>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</si>
  <si>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</si>
  <si>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</si>
  <si>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</si>
  <si>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</si>
  <si>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</si>
  <si>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</si>
  <si>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</si>
  <si>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</si>
  <si>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</si>
  <si>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</si>
  <si>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</si>
  <si>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</si>
  <si>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</si>
  <si>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</si>
  <si>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</si>
  <si>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</si>
  <si>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</si>
  <si>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</si>
  <si>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</si>
  <si>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</si>
  <si>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</si>
  <si>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</si>
  <si>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</si>
  <si>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</si>
  <si>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</si>
  <si>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</si>
  <si>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</si>
  <si>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</si>
  <si>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</si>
  <si>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</si>
  <si>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</si>
  <si>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</si>
  <si>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</si>
  <si>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</si>
  <si>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</si>
  <si>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</si>
  <si>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</si>
  <si>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</si>
  <si>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</si>
  <si>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</si>
  <si>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</si>
  <si>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</si>
  <si>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</si>
  <si>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</si>
  <si>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</si>
  <si>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</si>
  <si>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</si>
  <si>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</si>
  <si>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</si>
  <si>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</si>
  <si>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</si>
  <si>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</si>
  <si>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</si>
  <si>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</si>
  <si>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</si>
  <si>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</si>
  <si>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</si>
  <si>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</si>
  <si>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</si>
  <si>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</si>
  <si>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</si>
  <si>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</si>
  <si>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</si>
  <si>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</si>
  <si>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</si>
  <si>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</si>
  <si>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</si>
  <si>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</si>
  <si>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</si>
  <si>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</si>
  <si>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</si>
  <si>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</si>
  <si>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</si>
  <si>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</si>
  <si>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</si>
  <si>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</si>
  <si>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</si>
  <si>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</si>
  <si>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</si>
  <si>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</si>
  <si>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</si>
  <si>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</si>
  <si>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</si>
  <si>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</si>
  <si>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</si>
  <si>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</si>
  <si>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</si>
  <si>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</si>
  <si>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</si>
  <si>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</si>
  <si>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</si>
  <si>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</si>
  <si>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</si>
  <si>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</si>
  <si>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</si>
  <si>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</si>
  <si>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</si>
  <si>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</si>
  <si>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</si>
  <si>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</si>
  <si>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</si>
  <si>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</si>
  <si>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</si>
  <si>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</si>
  <si>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</si>
  <si>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</si>
  <si>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</si>
  <si>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</si>
  <si>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</si>
  <si>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</si>
  <si>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</si>
  <si>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</si>
  <si>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</si>
  <si>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</si>
  <si>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</si>
  <si>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</si>
  <si>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</si>
  <si>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</si>
  <si>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</si>
  <si>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</si>
  <si>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</si>
  <si>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</si>
  <si>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</si>
  <si>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</si>
  <si>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</si>
  <si>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</si>
  <si>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</si>
  <si>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</si>
  <si>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</si>
  <si>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</si>
  <si>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</si>
  <si>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</si>
  <si>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</si>
  <si>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</si>
  <si>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</si>
  <si>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</si>
  <si>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</si>
  <si>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</si>
  <si>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</si>
  <si>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</si>
  <si>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</si>
  <si>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</si>
  <si>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</si>
  <si>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</si>
  <si>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</si>
  <si>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</si>
  <si>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</si>
  <si>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</si>
  <si>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</si>
  <si>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</si>
  <si>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</si>
  <si>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</si>
  <si>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</si>
  <si>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</si>
  <si>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</si>
  <si>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</si>
  <si>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</si>
  <si>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</si>
  <si>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</si>
  <si>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</si>
  <si>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</si>
  <si>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</si>
  <si>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</si>
  <si>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</si>
  <si>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</si>
  <si>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</si>
  <si>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</si>
  <si>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</si>
  <si>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</si>
  <si>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</si>
  <si>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</si>
  <si>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</si>
  <si>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</si>
  <si>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</si>
  <si>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</si>
  <si>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</si>
  <si>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</si>
  <si>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</si>
  <si>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</si>
  <si>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</si>
  <si>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</si>
  <si>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</si>
  <si>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</si>
  <si>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</si>
  <si>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</si>
  <si>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</si>
  <si>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</si>
  <si>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</si>
  <si>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</si>
  <si>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</si>
  <si>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</si>
  <si>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</si>
  <si>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</si>
  <si>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</si>
  <si>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</si>
  <si>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</si>
  <si>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</si>
  <si>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</si>
  <si>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</si>
  <si>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</si>
  <si>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</si>
  <si>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</si>
  <si>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</si>
  <si>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</si>
  <si>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</si>
  <si>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</si>
  <si>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</si>
  <si>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</si>
  <si>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</si>
  <si>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</si>
  <si>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</si>
  <si>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</si>
  <si>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</si>
  <si>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</si>
  <si>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</si>
  <si>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</si>
  <si>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</si>
  <si>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</si>
  <si>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</si>
  <si>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</si>
  <si>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</si>
  <si>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</si>
  <si>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</si>
  <si>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</si>
  <si>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</si>
  <si>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</si>
  <si>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</si>
  <si>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</si>
  <si>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</si>
  <si>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</si>
  <si>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</si>
  <si>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</si>
  <si>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</si>
  <si>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</si>
  <si>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</si>
  <si>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</si>
  <si>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</si>
  <si>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</si>
  <si>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</si>
  <si>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</si>
  <si>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</si>
  <si>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</si>
  <si>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</si>
  <si>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</si>
  <si>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</si>
  <si>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</si>
  <si>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</si>
  <si>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</si>
  <si>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</si>
  <si>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</si>
  <si>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</si>
  <si>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</si>
  <si>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</si>
  <si>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</si>
  <si>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</si>
  <si>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</si>
  <si>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</si>
  <si>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</si>
  <si>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</si>
  <si>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</si>
  <si>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</si>
  <si>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</si>
  <si>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</si>
  <si>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</si>
  <si>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</si>
  <si>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</si>
  <si>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</si>
  <si>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</si>
  <si>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</si>
  <si>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</si>
  <si>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</si>
  <si>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</si>
  <si>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</si>
  <si>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</si>
  <si>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</si>
  <si>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</si>
  <si>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</si>
  <si>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</si>
  <si>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</si>
  <si>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</si>
  <si>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</si>
  <si>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</si>
  <si>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</si>
  <si>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</si>
  <si>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</si>
  <si>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</si>
  <si>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</si>
  <si>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</si>
  <si>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</si>
  <si>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</si>
  <si>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</si>
  <si>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</si>
  <si>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</si>
  <si>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</si>
  <si>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</si>
  <si>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</si>
  <si>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</si>
  <si>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</si>
  <si>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</si>
  <si>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</si>
  <si>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</si>
  <si>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</si>
  <si>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</si>
  <si>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</si>
  <si>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</si>
  <si>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</si>
  <si>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</si>
  <si>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</si>
  <si>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</si>
  <si>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</si>
  <si>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</si>
  <si>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</si>
  <si>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</si>
  <si>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</si>
  <si>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</si>
  <si>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</si>
  <si>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</si>
  <si>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</si>
  <si>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</si>
  <si>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</si>
  <si>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</si>
  <si>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</si>
  <si>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</si>
  <si>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</si>
  <si>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</si>
  <si>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</si>
  <si>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</si>
  <si>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</si>
  <si>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</si>
  <si>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</si>
  <si>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</si>
  <si>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</si>
  <si>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</si>
  <si>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</si>
  <si>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</si>
  <si>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</si>
  <si>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</si>
  <si>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</si>
  <si>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</si>
  <si>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</si>
  <si>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</si>
  <si>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</si>
  <si>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</si>
  <si>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</si>
  <si>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</si>
  <si>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</si>
  <si>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</si>
  <si>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</si>
  <si>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</si>
  <si>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</si>
  <si>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</si>
  <si>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</si>
  <si>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</si>
  <si>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</si>
  <si>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</si>
  <si>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</si>
  <si>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</si>
  <si>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</si>
  <si>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</si>
  <si>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</si>
  <si>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</si>
  <si>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</si>
  <si>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</si>
  <si>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</si>
  <si>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</si>
  <si>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</si>
  <si>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</si>
  <si>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</si>
  <si>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</si>
  <si>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</si>
  <si>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</si>
  <si>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</si>
  <si>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</si>
  <si>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</si>
  <si>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</si>
  <si>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</si>
  <si>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</si>
  <si>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</si>
  <si>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</si>
  <si>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</si>
  <si>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</si>
  <si>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</si>
  <si>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</si>
  <si>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</si>
  <si>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</si>
  <si>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</si>
  <si>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</si>
  <si>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</si>
  <si>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</si>
  <si>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</si>
  <si>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</si>
  <si>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</si>
  <si>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</si>
  <si>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</si>
  <si>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</si>
  <si>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</si>
  <si>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</si>
  <si>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</si>
  <si>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</si>
  <si>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</si>
  <si>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</si>
  <si>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</si>
  <si>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</si>
  <si>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</si>
  <si>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</si>
  <si>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</si>
  <si>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</si>
  <si>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</si>
  <si>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</si>
  <si>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</si>
  <si>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</si>
  <si>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</si>
  <si>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</si>
  <si>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</si>
  <si>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</si>
  <si>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</si>
  <si>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</si>
  <si>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</si>
  <si>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</si>
  <si>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</si>
  <si>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</si>
  <si>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</si>
  <si>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</si>
  <si>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</si>
  <si>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</si>
  <si>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</si>
  <si>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</si>
  <si>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</si>
  <si>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</si>
  <si>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</si>
  <si>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</si>
  <si>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</si>
  <si>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</si>
  <si>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</si>
  <si>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</si>
  <si>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</si>
  <si>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</si>
  <si>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</si>
  <si>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</si>
  <si>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</si>
  <si>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</si>
  <si>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</si>
  <si>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</si>
  <si>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</si>
  <si>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</si>
  <si>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</si>
  <si>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</si>
  <si>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</si>
  <si>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</si>
  <si>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</si>
  <si>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</si>
  <si>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</si>
  <si>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</si>
  <si>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</si>
  <si>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</si>
  <si>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</si>
  <si>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</si>
  <si>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</si>
  <si>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</si>
  <si>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</si>
  <si>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</si>
  <si>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</si>
  <si>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</si>
  <si>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</si>
  <si>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</si>
  <si>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</si>
  <si>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</si>
  <si>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</si>
  <si>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</si>
  <si>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</si>
  <si>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</si>
  <si>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</si>
  <si>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</si>
  <si>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</si>
  <si>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</si>
  <si>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</si>
  <si>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</si>
  <si>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</si>
  <si>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</si>
  <si>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</si>
  <si>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</si>
  <si>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</si>
  <si>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</si>
  <si>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</si>
  <si>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</si>
  <si>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</si>
  <si>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</si>
  <si>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</si>
  <si>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</si>
  <si>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</si>
  <si>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</si>
  <si>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</si>
  <si>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</si>
  <si>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</si>
  <si>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</si>
  <si>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</si>
  <si>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</si>
  <si>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</si>
  <si>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</si>
  <si>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</si>
  <si>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</si>
  <si>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</si>
  <si>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</si>
  <si>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</si>
  <si>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</si>
  <si>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</si>
  <si>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</si>
  <si>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</si>
  <si>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</si>
  <si>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</si>
  <si>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</si>
  <si>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</si>
  <si>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</si>
  <si>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</si>
  <si>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</si>
  <si>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</si>
  <si>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</si>
  <si>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</si>
  <si>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</si>
  <si>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</si>
  <si>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</si>
  <si>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</si>
  <si>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</si>
  <si>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</si>
  <si>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</si>
  <si>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</si>
  <si>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</si>
  <si>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</si>
  <si>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</si>
  <si>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</si>
  <si>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</si>
  <si>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</si>
  <si>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</si>
  <si>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</si>
  <si>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</si>
  <si>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</si>
  <si>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</si>
  <si>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</si>
  <si>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</si>
  <si>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</si>
  <si>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</si>
  <si>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</si>
  <si>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</si>
  <si>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</si>
  <si>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</si>
  <si>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</si>
  <si>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</si>
  <si>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</si>
  <si>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</si>
  <si>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</si>
  <si>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</si>
  <si>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</si>
  <si>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</si>
  <si>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</si>
  <si>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</si>
  <si>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</si>
  <si>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</si>
  <si>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</si>
  <si>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</si>
  <si>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</si>
  <si>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</si>
  <si>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</si>
  <si>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</si>
  <si>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</si>
  <si>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</si>
  <si>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</si>
  <si>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</si>
  <si>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</si>
  <si>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</si>
  <si>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</si>
  <si>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</si>
  <si>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</si>
  <si>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</si>
  <si>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</si>
  <si>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</si>
  <si>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</si>
  <si>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</si>
  <si>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</si>
  <si>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</si>
  <si>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</si>
  <si>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</si>
  <si>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</si>
  <si>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</si>
  <si>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</si>
  <si>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</si>
  <si>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</si>
  <si>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</si>
  <si>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</si>
  <si>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</si>
  <si>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</si>
  <si>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</si>
  <si>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</si>
  <si>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</si>
  <si>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</si>
  <si>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</si>
  <si>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</si>
  <si>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</si>
  <si>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</si>
  <si>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</si>
  <si>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</si>
  <si>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</si>
  <si>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</si>
  <si>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</si>
  <si>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</si>
  <si>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</si>
  <si>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</si>
  <si>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</si>
  <si>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</si>
  <si>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</si>
  <si>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</si>
  <si>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</si>
  <si>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</si>
  <si>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</si>
  <si>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</si>
  <si>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</si>
  <si>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</si>
  <si>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</si>
  <si>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</si>
  <si>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</si>
  <si>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</si>
  <si>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</si>
  <si>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</si>
  <si>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</si>
  <si>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</si>
  <si>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</si>
  <si>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</si>
  <si>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</si>
  <si>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</si>
  <si>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</si>
  <si>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</si>
  <si>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</si>
  <si>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</si>
  <si>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</si>
  <si>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</si>
  <si>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</si>
  <si>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</si>
  <si>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</si>
  <si>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</si>
  <si>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</si>
  <si>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</si>
  <si>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</si>
  <si>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</si>
  <si>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</si>
  <si>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</si>
  <si>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</si>
  <si>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</si>
  <si>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</si>
  <si>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</si>
  <si>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</si>
  <si>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</si>
  <si>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</si>
  <si>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</si>
  <si>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</si>
  <si>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</si>
  <si>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</si>
  <si>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</si>
  <si>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</si>
  <si>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</si>
  <si>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</si>
  <si>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</si>
  <si>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</si>
  <si>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</si>
  <si>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</si>
  <si>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</si>
  <si>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</si>
  <si>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</si>
  <si>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</si>
  <si>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</si>
  <si>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</si>
  <si>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</si>
  <si>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</si>
  <si>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</si>
  <si>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</si>
  <si>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</si>
  <si>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</si>
  <si>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</si>
  <si>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</si>
  <si>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</si>
  <si>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</si>
  <si>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</si>
  <si>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</si>
  <si>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</si>
  <si>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</si>
  <si>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</si>
  <si>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</si>
  <si>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</si>
  <si>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</si>
  <si>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</si>
  <si>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</si>
  <si>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</si>
  <si>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</si>
  <si>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</si>
  <si>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</si>
  <si>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</si>
  <si>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</si>
  <si>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</si>
  <si>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</si>
  <si>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</si>
  <si>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</si>
  <si>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</si>
  <si>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</si>
  <si>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</si>
  <si>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</si>
  <si>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</si>
  <si>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</si>
  <si>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</si>
  <si>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</si>
  <si>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</si>
  <si>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</si>
  <si>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</si>
  <si>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</si>
  <si>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</si>
  <si>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</si>
  <si>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</si>
  <si>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</si>
  <si>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</si>
  <si>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</si>
  <si>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</si>
  <si>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</si>
  <si>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</si>
  <si>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</si>
  <si>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</si>
  <si>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</si>
  <si>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</si>
  <si>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</si>
  <si>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</si>
  <si>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</si>
  <si>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</si>
  <si>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</si>
  <si>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</si>
  <si>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</si>
  <si>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</si>
  <si>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</si>
  <si>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</si>
  <si>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</si>
  <si>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</si>
  <si>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</si>
  <si>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</si>
  <si>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</si>
  <si>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</si>
  <si>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</si>
  <si>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</si>
  <si>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</si>
  <si>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</si>
  <si>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</si>
  <si>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</si>
  <si>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</si>
  <si>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</si>
  <si>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</si>
  <si>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</si>
  <si>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</si>
  <si>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</si>
  <si>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</si>
  <si>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</si>
  <si>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</si>
  <si>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</si>
  <si>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</si>
  <si>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</si>
  <si>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</si>
  <si>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</si>
  <si>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</si>
  <si>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</si>
  <si>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</si>
  <si>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</si>
  <si>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</si>
  <si>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</si>
  <si>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</si>
  <si>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</si>
  <si>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</si>
  <si>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</si>
  <si>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</si>
  <si>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</si>
  <si>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</si>
  <si>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</si>
  <si>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</si>
  <si>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</si>
  <si>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</si>
  <si>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</si>
  <si>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</si>
  <si>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</si>
  <si>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</si>
  <si>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</si>
  <si>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</si>
  <si>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</si>
  <si>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</si>
  <si>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</si>
  <si>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</si>
  <si>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</si>
  <si>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</si>
  <si>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</si>
  <si>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</si>
  <si>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</si>
  <si>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</si>
  <si>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</si>
  <si>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</si>
  <si>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</si>
  <si>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</si>
  <si>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</si>
  <si>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</si>
  <si>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</si>
  <si>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</si>
  <si>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</si>
  <si>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</si>
  <si>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</si>
  <si>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</si>
  <si>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</si>
  <si>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</si>
  <si>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</si>
  <si>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</si>
  <si>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</si>
  <si>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</si>
  <si>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</si>
  <si>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</si>
  <si>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</si>
  <si>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</si>
  <si>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</si>
  <si>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</si>
  <si>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</si>
  <si>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</si>
  <si>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</si>
  <si>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</si>
  <si>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</si>
  <si>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</si>
  <si>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</si>
  <si>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</si>
  <si>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</si>
  <si>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</si>
  <si>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</si>
  <si>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</si>
  <si>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</si>
  <si>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</si>
  <si>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</si>
  <si>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</si>
  <si>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</si>
  <si>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</si>
  <si>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</si>
  <si>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</si>
  <si>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</si>
  <si>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</si>
  <si>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</si>
  <si>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</si>
  <si>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</si>
  <si>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</si>
  <si>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</si>
  <si>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</si>
  <si>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</si>
  <si>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</si>
  <si>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</si>
  <si>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</si>
  <si>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</si>
  <si>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</si>
  <si>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</si>
  <si>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</si>
  <si>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</si>
  <si>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</si>
  <si>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</si>
  <si>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</si>
  <si>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</si>
  <si>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</si>
  <si>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</si>
  <si>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</si>
  <si>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</si>
  <si>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</si>
  <si>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</si>
  <si>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</si>
  <si>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</si>
  <si>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</si>
  <si>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</si>
  <si>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</si>
  <si>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</si>
  <si>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</si>
  <si>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</si>
  <si>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</si>
  <si>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</si>
  <si>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</si>
  <si>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</si>
  <si>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</si>
  <si>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</si>
  <si>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</si>
  <si>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</si>
  <si>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</si>
  <si>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</si>
  <si>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</si>
  <si>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</si>
  <si>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</si>
  <si>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</si>
  <si>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</si>
  <si>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</si>
  <si>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</si>
  <si>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</si>
  <si>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</si>
  <si>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</si>
  <si>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</si>
  <si>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</si>
  <si>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</si>
  <si>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</si>
  <si>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</si>
  <si>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</si>
  <si>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</si>
  <si>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</si>
  <si>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</si>
  <si>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</si>
  <si>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</si>
  <si>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</si>
  <si>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</si>
  <si>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</si>
  <si>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</si>
  <si>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</si>
  <si>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</si>
  <si>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</si>
  <si>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</si>
  <si>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</si>
  <si>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</si>
  <si>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</si>
  <si>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</si>
  <si>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</si>
  <si>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</si>
  <si>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</si>
  <si>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</si>
  <si>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</si>
  <si>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</si>
  <si>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</si>
  <si>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</si>
  <si>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</si>
  <si>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</si>
  <si>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</si>
  <si>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</si>
  <si>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</si>
  <si>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</si>
  <si>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</si>
  <si>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</si>
  <si>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</si>
  <si>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</si>
  <si>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</si>
  <si>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</si>
  <si>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</si>
  <si>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</si>
  <si>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</si>
  <si>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</si>
  <si>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</si>
  <si>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</si>
  <si>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</si>
  <si>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</si>
  <si>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</si>
  <si>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</si>
  <si>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</si>
  <si>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</si>
  <si>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</si>
  <si>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</si>
  <si>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</si>
  <si>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</si>
  <si>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</si>
  <si>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</si>
  <si>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</si>
  <si>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</si>
  <si>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</si>
  <si>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</si>
  <si>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</si>
  <si>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</si>
  <si>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</si>
  <si>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</si>
  <si>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</si>
  <si>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</si>
  <si>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</si>
  <si>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</si>
  <si>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</si>
  <si>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</si>
  <si>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</si>
  <si>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</si>
  <si>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</si>
  <si>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</si>
  <si>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</si>
  <si>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</si>
  <si>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</si>
  <si>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</si>
  <si>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</si>
  <si>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</si>
  <si>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</si>
  <si>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</si>
  <si>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</si>
  <si>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</si>
  <si>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</si>
  <si>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</si>
  <si>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</si>
  <si>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</si>
  <si>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</si>
  <si>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</si>
  <si>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</si>
  <si>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</si>
  <si>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</si>
  <si>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</si>
  <si>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</si>
  <si>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</si>
  <si>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</si>
  <si>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</si>
  <si>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</si>
  <si>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</si>
  <si>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</si>
  <si>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</si>
  <si>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</si>
  <si>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</si>
  <si>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</si>
  <si>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</si>
  <si>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</si>
  <si>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</si>
  <si>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</si>
  <si>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</si>
  <si>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</si>
  <si>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</si>
  <si>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</si>
  <si>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</si>
  <si>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</si>
  <si>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</si>
  <si>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</si>
  <si>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</si>
  <si>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</si>
  <si>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</si>
  <si>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</si>
  <si>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</si>
  <si>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</si>
  <si>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</si>
  <si>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</si>
  <si>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</si>
  <si>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</si>
  <si>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</si>
  <si>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</si>
  <si>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</si>
  <si>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</si>
  <si>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</si>
  <si>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</si>
  <si>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</si>
  <si>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</si>
  <si>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</si>
  <si>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</si>
  <si>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</si>
  <si>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</si>
  <si>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</si>
  <si>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</si>
  <si>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</si>
  <si>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</si>
  <si>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</si>
  <si>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</si>
  <si>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</si>
  <si>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</si>
  <si>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</si>
  <si>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</si>
  <si>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</si>
  <si>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</si>
  <si>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</si>
  <si>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</si>
  <si>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</si>
  <si>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</si>
  <si>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</si>
  <si>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</si>
  <si>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</si>
  <si>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</si>
  <si>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</si>
  <si>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</si>
  <si>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</si>
  <si>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</si>
  <si>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</si>
  <si>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</si>
  <si>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</si>
  <si>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</si>
  <si>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</si>
  <si>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</si>
  <si>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</si>
  <si>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</si>
  <si>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</si>
  <si>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</si>
  <si>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</si>
  <si>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</si>
  <si>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</si>
  <si>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</si>
  <si>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</si>
  <si>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</si>
  <si>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</si>
  <si>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</si>
  <si>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</si>
  <si>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</si>
  <si>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</si>
  <si>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</si>
  <si>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</si>
  <si>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</si>
  <si>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</si>
  <si>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</si>
  <si>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</si>
  <si>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</si>
  <si>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</si>
  <si>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</si>
  <si>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</si>
  <si>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</si>
  <si>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</si>
  <si>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</si>
  <si>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</si>
  <si>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</si>
  <si>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</si>
  <si>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</si>
  <si>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</si>
  <si>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</si>
  <si>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</si>
  <si>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</si>
  <si>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</si>
  <si>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</si>
  <si>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</si>
  <si>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</si>
  <si>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</si>
  <si>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</si>
  <si>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</si>
  <si>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</si>
  <si>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</si>
  <si>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</si>
  <si>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</si>
  <si>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</si>
  <si>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</si>
  <si>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</si>
  <si>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</si>
  <si>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</si>
  <si>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</si>
  <si>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</si>
  <si>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</si>
  <si>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</si>
  <si>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</si>
  <si>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</si>
  <si>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</si>
  <si>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</si>
  <si>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</si>
  <si>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</si>
  <si>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</si>
  <si>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</si>
  <si>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</si>
  <si>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</si>
  <si>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</si>
  <si>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</si>
  <si>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</si>
  <si>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</si>
  <si>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</si>
  <si>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</si>
  <si>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</si>
  <si>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</si>
  <si>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</si>
  <si>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</si>
  <si>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</si>
  <si>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</si>
  <si>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</si>
  <si>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</si>
  <si>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</si>
  <si>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</si>
  <si>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</si>
  <si>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</si>
  <si>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</si>
  <si>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</si>
  <si>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</si>
  <si>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</si>
  <si>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</si>
  <si>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</si>
  <si>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</si>
  <si>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</si>
  <si>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</si>
  <si>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</si>
  <si>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</si>
  <si>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</si>
  <si>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</si>
  <si>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</si>
  <si>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</si>
  <si>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</si>
  <si>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</si>
  <si>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</si>
  <si>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</si>
  <si>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</si>
  <si>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</si>
  <si>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</si>
  <si>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</si>
  <si>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</si>
  <si>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</si>
  <si>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</si>
  <si>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</si>
  <si>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</si>
  <si>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</si>
  <si>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</si>
  <si>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</si>
  <si>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</si>
  <si>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</si>
  <si>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</si>
  <si>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</si>
  <si>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</si>
  <si>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</si>
  <si>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</si>
  <si>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</si>
  <si>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</si>
  <si>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</si>
  <si>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</si>
  <si>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</si>
  <si>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</si>
  <si>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</si>
  <si>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</si>
  <si>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</si>
  <si>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</si>
  <si>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</si>
  <si>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</si>
  <si>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</si>
  <si>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</si>
  <si>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</si>
  <si>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</si>
  <si>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</si>
  <si>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</si>
  <si>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</si>
  <si>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</si>
  <si>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</si>
  <si>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</si>
  <si>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</si>
  <si>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</si>
  <si>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</si>
  <si>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</si>
  <si>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</si>
  <si>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</si>
  <si>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</si>
  <si>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</si>
  <si>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</si>
  <si>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</si>
  <si>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</si>
  <si>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</si>
  <si>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</si>
  <si>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</si>
  <si>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</si>
  <si>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</si>
  <si>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</si>
  <si>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</si>
  <si>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</si>
  <si>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</si>
  <si>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</si>
  <si>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</si>
  <si>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</si>
  <si>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</si>
  <si>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</si>
  <si>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</si>
  <si>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</si>
  <si>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</si>
  <si>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</si>
  <si>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</si>
  <si>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</si>
  <si>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</si>
  <si>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</si>
  <si>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</si>
  <si>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</si>
  <si>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</si>
  <si>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</si>
  <si>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</si>
  <si>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</si>
  <si>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</si>
  <si>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</si>
  <si>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</si>
  <si>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</si>
  <si>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</si>
  <si>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</si>
  <si>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</si>
  <si>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</si>
  <si>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</si>
  <si>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</si>
  <si>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</si>
  <si>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</si>
  <si>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</si>
  <si>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</si>
  <si>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</si>
  <si>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</si>
  <si>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</si>
  <si>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</si>
  <si>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</si>
  <si>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</si>
  <si>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</si>
  <si>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</si>
  <si>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</si>
  <si>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</si>
  <si>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</si>
  <si>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</si>
  <si>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</si>
  <si>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</si>
  <si>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</si>
  <si>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</si>
  <si>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</si>
  <si>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</si>
  <si>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</si>
  <si>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</si>
  <si>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</si>
  <si>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</si>
  <si>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</si>
  <si>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</si>
  <si>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</si>
  <si>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</si>
  <si>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</si>
  <si>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</si>
  <si>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</si>
  <si>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</si>
  <si>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</si>
  <si>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</si>
  <si>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</si>
  <si>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</si>
  <si>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</si>
  <si>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</si>
  <si>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</si>
  <si>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</si>
  <si>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</si>
  <si>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</si>
  <si>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</si>
  <si>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</si>
  <si>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</si>
  <si>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</si>
  <si>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</si>
  <si>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</si>
  <si>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</si>
  <si>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</si>
  <si>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</si>
  <si>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</si>
  <si>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</si>
  <si>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</si>
  <si>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</si>
  <si>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</si>
  <si>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</si>
  <si>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</si>
  <si>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</si>
  <si>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</si>
  <si>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</si>
  <si>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</si>
  <si>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</si>
  <si>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</si>
  <si>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</si>
  <si>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</si>
  <si>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</si>
  <si>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</si>
  <si>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</si>
  <si>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</si>
  <si>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</si>
  <si>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</si>
  <si>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</si>
  <si>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</si>
  <si>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</si>
  <si>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</si>
  <si>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</si>
  <si>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</si>
  <si>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</si>
  <si>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</si>
  <si>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</si>
  <si>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</si>
  <si>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</si>
  <si>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</si>
  <si>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</si>
  <si>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</si>
  <si>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</si>
  <si>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</si>
  <si>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</si>
  <si>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</si>
  <si>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</si>
  <si>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</si>
  <si>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</si>
  <si>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</si>
  <si>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</si>
  <si>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</si>
  <si>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</si>
  <si>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</si>
  <si>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</si>
  <si>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</si>
  <si>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</si>
  <si>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</si>
  <si>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</si>
  <si>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</si>
  <si>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</si>
  <si>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</si>
  <si>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</si>
  <si>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</si>
  <si>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</si>
  <si>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</si>
  <si>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</si>
  <si>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</si>
  <si>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</si>
  <si>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</si>
  <si>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</si>
  <si>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</si>
  <si>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</si>
  <si>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</si>
  <si>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</si>
  <si>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</si>
  <si>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</si>
  <si>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</si>
  <si>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</si>
  <si>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</si>
  <si>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</si>
  <si>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</si>
  <si>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</si>
  <si>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</si>
  <si>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</si>
  <si>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</si>
  <si>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</si>
  <si>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</si>
  <si>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</si>
  <si>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</si>
  <si>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</si>
  <si>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</si>
  <si>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</si>
  <si>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</si>
  <si>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</si>
  <si>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</si>
  <si>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</si>
  <si>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</si>
  <si>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</si>
  <si>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</si>
  <si>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</si>
  <si>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</si>
  <si>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</si>
  <si>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</si>
  <si>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</si>
  <si>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</si>
  <si>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</si>
  <si>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</si>
  <si>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</si>
  <si>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</si>
  <si>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</si>
  <si>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</si>
  <si>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</si>
  <si>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</si>
  <si>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</si>
  <si>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</si>
  <si>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</si>
  <si>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</si>
  <si>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</si>
  <si>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</si>
  <si>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</si>
  <si>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</si>
  <si>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</si>
  <si>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</si>
  <si>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</si>
  <si>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</si>
  <si>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</si>
  <si>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</si>
  <si>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</si>
  <si>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</si>
  <si>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</si>
  <si>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</si>
  <si>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</si>
  <si>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</si>
  <si>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</si>
  <si>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</si>
  <si>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</si>
  <si>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</si>
  <si>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</si>
  <si>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</si>
  <si>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</si>
  <si>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</si>
  <si>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</si>
  <si>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</si>
  <si>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</si>
  <si>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</si>
  <si>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</si>
  <si>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</si>
  <si>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</si>
  <si>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</si>
  <si>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</si>
  <si>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</si>
  <si>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</si>
  <si>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</si>
  <si>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</si>
  <si>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</si>
  <si>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</si>
  <si>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</si>
  <si>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</si>
  <si>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</si>
  <si>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</si>
  <si>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</si>
  <si>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</si>
  <si>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</si>
  <si>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</si>
  <si>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</si>
  <si>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</si>
  <si>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</si>
  <si>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</si>
  <si>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</si>
  <si>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</si>
  <si>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</si>
  <si>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</si>
  <si>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</si>
  <si>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</si>
  <si>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</si>
  <si>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</si>
  <si>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</si>
  <si>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</si>
  <si>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</si>
  <si>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</si>
  <si>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</si>
  <si>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</si>
  <si>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</si>
  <si>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</si>
  <si>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</si>
  <si>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</si>
  <si>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</si>
  <si>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</si>
  <si>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</si>
  <si>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</si>
  <si>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</si>
  <si>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</si>
  <si>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</si>
  <si>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</si>
  <si>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</si>
  <si>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</si>
  <si>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</si>
  <si>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</si>
  <si>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</si>
  <si>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</si>
  <si>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</si>
  <si>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</si>
  <si>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</si>
  <si>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</si>
  <si>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</si>
  <si>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</si>
  <si>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</si>
  <si>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</si>
  <si>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</si>
  <si>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</si>
  <si>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</si>
  <si>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</si>
  <si>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</si>
  <si>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</si>
  <si>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</si>
  <si>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</si>
  <si>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</si>
  <si>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</si>
  <si>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</si>
  <si>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</si>
  <si>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</si>
  <si>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</si>
  <si>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</si>
  <si>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</si>
  <si>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</si>
  <si>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</si>
  <si>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</si>
  <si>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</si>
  <si>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</si>
  <si>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</si>
  <si>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</si>
  <si>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</si>
  <si>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</si>
  <si>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</si>
  <si>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</si>
  <si>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</si>
  <si>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</si>
  <si>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</si>
  <si>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</si>
  <si>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</si>
  <si>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</si>
  <si>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</si>
  <si>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</si>
  <si>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</si>
  <si>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</si>
  <si>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</si>
  <si>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</si>
  <si>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</si>
  <si>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</si>
  <si>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</si>
  <si>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</si>
  <si>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</si>
  <si>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</si>
  <si>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</si>
  <si>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</si>
  <si>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</si>
  <si>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</si>
  <si>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</si>
  <si>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</si>
  <si>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</si>
  <si>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</si>
  <si>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</si>
  <si>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</si>
  <si>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</si>
  <si>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</si>
  <si>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</si>
  <si>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</si>
  <si>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</si>
  <si>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</si>
  <si>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</si>
  <si>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</si>
  <si>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</si>
  <si>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</si>
  <si>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</si>
  <si>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</si>
  <si>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</si>
  <si>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</si>
  <si>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</si>
  <si>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</si>
  <si>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</si>
  <si>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</si>
  <si>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</si>
  <si>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</si>
  <si>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</si>
  <si>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</si>
  <si>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</si>
  <si>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</si>
  <si>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</si>
  <si>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</si>
  <si>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</si>
  <si>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</si>
  <si>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</si>
  <si>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</si>
  <si>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</si>
  <si>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</si>
  <si>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</si>
  <si>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</si>
  <si>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</si>
  <si>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</si>
  <si>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</si>
  <si>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</si>
  <si>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</si>
  <si>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</si>
  <si>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</si>
  <si>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</si>
  <si>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</si>
  <si>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</si>
  <si>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</si>
  <si>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</si>
  <si>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</si>
  <si>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</si>
  <si>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</si>
  <si>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</si>
  <si>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</si>
  <si>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</si>
  <si>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</si>
  <si>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</si>
  <si>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</si>
  <si>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</si>
  <si>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</si>
  <si>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</si>
  <si>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</si>
  <si>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</si>
  <si>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</si>
  <si>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</si>
  <si>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</si>
  <si>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</si>
  <si>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</si>
  <si>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</si>
  <si>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</si>
  <si>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</si>
  <si>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</si>
  <si>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</si>
  <si>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</si>
  <si>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</si>
  <si>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</si>
  <si>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</si>
  <si>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</si>
  <si>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</si>
  <si>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</si>
  <si>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</si>
  <si>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</si>
  <si>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</si>
  <si>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</si>
  <si>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</si>
  <si>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</si>
  <si>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</si>
  <si>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</si>
  <si>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</si>
  <si>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</si>
  <si>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</si>
  <si>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</si>
  <si>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</si>
  <si>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</si>
  <si>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</si>
  <si>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</si>
  <si>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</si>
  <si>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</si>
  <si>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</si>
  <si>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</si>
  <si>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</si>
  <si>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</si>
  <si>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</si>
  <si>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</si>
  <si>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</si>
  <si>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</si>
  <si>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</si>
  <si>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</si>
  <si>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</si>
  <si>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</si>
  <si>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</si>
  <si>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</si>
  <si>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</si>
  <si>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</si>
  <si>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</si>
  <si>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</si>
  <si>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</si>
  <si>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</si>
  <si>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</si>
  <si>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</si>
  <si>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</si>
  <si>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</si>
  <si>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</si>
  <si>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</si>
  <si>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</si>
  <si>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</si>
  <si>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</si>
  <si>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</si>
  <si>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</si>
  <si>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</si>
  <si>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</si>
  <si>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</si>
  <si>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</si>
  <si>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</si>
  <si>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</si>
  <si>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</si>
  <si>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</si>
  <si>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</si>
  <si>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</si>
  <si>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</si>
  <si>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</si>
  <si>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</si>
  <si>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</si>
  <si>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</si>
  <si>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</si>
  <si>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</si>
  <si>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</si>
  <si>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</si>
  <si>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</si>
  <si>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</si>
  <si>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</si>
  <si>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</si>
  <si>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</si>
  <si>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</si>
  <si>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</si>
  <si>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</si>
  <si>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</si>
  <si>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</si>
  <si>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</si>
  <si>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</si>
  <si>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</si>
  <si>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</si>
  <si>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</si>
  <si>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</si>
  <si>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</si>
  <si>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</si>
  <si>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</si>
  <si>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</si>
  <si>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</si>
  <si>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</si>
  <si>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</si>
  <si>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</si>
  <si>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</si>
  <si>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</si>
  <si>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</si>
  <si>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</si>
  <si>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</si>
  <si>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</si>
  <si>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</si>
  <si>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</si>
  <si>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</si>
  <si>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</si>
  <si>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</si>
  <si>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</si>
  <si>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</si>
  <si>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</si>
  <si>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</si>
  <si>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</si>
  <si>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</si>
  <si>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</si>
  <si>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</si>
  <si>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</si>
  <si>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</si>
  <si>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</si>
  <si>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</si>
  <si>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</si>
  <si>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</si>
  <si>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</si>
  <si>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</si>
  <si>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</si>
  <si>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</si>
  <si>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</si>
  <si>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</si>
  <si>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</si>
  <si>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</si>
  <si>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</si>
  <si>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</si>
  <si>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</si>
  <si>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</si>
  <si>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</si>
  <si>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</si>
  <si>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</si>
  <si>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</si>
  <si>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</si>
  <si>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</si>
  <si>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</si>
  <si>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</si>
  <si>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</si>
  <si>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</si>
  <si>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</si>
  <si>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</si>
  <si>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</si>
  <si>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</si>
  <si>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</si>
  <si>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</si>
  <si>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</si>
  <si>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</si>
  <si>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</si>
  <si>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</si>
  <si>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</si>
  <si>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</si>
  <si>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</si>
  <si>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</si>
  <si>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</si>
  <si>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</si>
  <si>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</si>
  <si>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</si>
  <si>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</si>
  <si>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</si>
  <si>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</si>
  <si>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</si>
  <si>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</si>
  <si>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</si>
  <si>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</si>
  <si>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</si>
  <si>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</si>
  <si>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</si>
  <si>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</si>
  <si>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</si>
  <si>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</si>
  <si>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</si>
  <si>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</si>
  <si>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</si>
  <si>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</si>
  <si>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</si>
  <si>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</si>
  <si>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</si>
  <si>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</si>
  <si>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</si>
  <si>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</si>
  <si>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</si>
  <si>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</si>
  <si>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</si>
  <si>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</si>
  <si>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</si>
  <si>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</si>
  <si>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</si>
  <si>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</si>
  <si>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</si>
  <si>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</si>
  <si>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</si>
  <si>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</si>
  <si>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</si>
  <si>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</si>
  <si>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</si>
  <si>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</si>
  <si>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</si>
  <si>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</si>
  <si>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</si>
  <si>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</si>
  <si>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</si>
  <si>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</si>
  <si>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</si>
  <si>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</si>
  <si>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</si>
  <si>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</si>
  <si>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</si>
  <si>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</si>
  <si>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</si>
  <si>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</si>
  <si>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</si>
  <si>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</si>
  <si>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</si>
  <si>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</si>
  <si>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</si>
  <si>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</si>
  <si>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</si>
  <si>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</si>
  <si>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</si>
  <si>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</si>
  <si>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</si>
  <si>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</si>
  <si>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</si>
  <si>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</si>
  <si>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</si>
  <si>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</si>
  <si>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</si>
  <si>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</si>
  <si>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</si>
  <si>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</si>
  <si>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</si>
  <si>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</si>
  <si>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</si>
  <si>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</si>
  <si>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</si>
  <si>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</si>
  <si>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</si>
  <si>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</si>
  <si>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</si>
  <si>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</si>
  <si>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</si>
  <si>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</si>
  <si>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</si>
  <si>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</si>
  <si>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</si>
  <si>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</si>
  <si>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</si>
  <si>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</si>
  <si>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</si>
  <si>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</si>
  <si>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</si>
  <si>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</si>
  <si>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</si>
  <si>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</si>
  <si>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</si>
  <si>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</si>
  <si>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</si>
  <si>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</si>
  <si>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</si>
  <si>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</si>
  <si>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</si>
  <si>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</si>
  <si>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</si>
  <si>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</si>
  <si>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</si>
  <si>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</si>
  <si>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</si>
  <si>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</si>
  <si>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</si>
  <si>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</si>
  <si>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</si>
  <si>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</si>
  <si>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</si>
  <si>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</si>
  <si>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</si>
  <si>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</si>
  <si>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</si>
  <si>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</si>
  <si>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</si>
  <si>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</si>
  <si>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</si>
  <si>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</si>
  <si>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</si>
  <si>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</si>
  <si>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</si>
  <si>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</si>
  <si>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</si>
  <si>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</si>
  <si>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</si>
  <si>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</si>
  <si>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</si>
  <si>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</si>
  <si>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</si>
  <si>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</si>
  <si>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</si>
  <si>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</si>
  <si>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</si>
  <si>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</si>
  <si>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</si>
  <si>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</si>
  <si>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</si>
  <si>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</si>
  <si>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</si>
  <si>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</si>
  <si>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</si>
  <si>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</si>
  <si>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</si>
  <si>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</si>
  <si>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</si>
  <si>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</si>
  <si>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</si>
  <si>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</si>
  <si>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</si>
  <si>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</si>
  <si>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</si>
  <si>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</si>
  <si>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</si>
  <si>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</si>
  <si>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</si>
  <si>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</si>
  <si>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</si>
  <si>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</si>
  <si>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</si>
  <si>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</si>
  <si>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</si>
  <si>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</si>
  <si>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</si>
  <si>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</si>
  <si>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</si>
  <si>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</si>
  <si>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</si>
  <si>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</si>
  <si>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</si>
  <si>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</si>
  <si>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</si>
  <si>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</si>
  <si>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</si>
  <si>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</si>
  <si>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</si>
  <si>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</si>
  <si>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</si>
  <si>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</si>
  <si>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</si>
  <si>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</si>
  <si>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</si>
  <si>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</si>
  <si>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</si>
  <si>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</si>
  <si>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</si>
  <si>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</si>
  <si>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</si>
  <si>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</si>
  <si>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</si>
  <si>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</si>
  <si>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</si>
  <si>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</si>
  <si>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</si>
  <si>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</si>
  <si>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</si>
  <si>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</si>
  <si>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</si>
  <si>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</si>
  <si>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</si>
  <si>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</si>
  <si>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</si>
  <si>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</si>
  <si>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</si>
  <si>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</si>
  <si>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</si>
  <si>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</si>
  <si>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</si>
  <si>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</si>
  <si>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</si>
  <si>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</si>
  <si>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</si>
  <si>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</si>
  <si>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</si>
  <si>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</si>
  <si>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</si>
  <si>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</si>
  <si>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</si>
  <si>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</si>
  <si>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</si>
  <si>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</si>
  <si>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</si>
  <si>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</si>
  <si>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</si>
  <si>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</si>
  <si>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</si>
  <si>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</si>
  <si>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</si>
  <si>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</si>
  <si>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</si>
  <si>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</si>
  <si>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</si>
  <si>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</si>
  <si>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</si>
  <si>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</si>
  <si>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</si>
  <si>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</si>
  <si>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</si>
  <si>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</si>
  <si>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</si>
  <si>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</si>
  <si>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</si>
  <si>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</si>
  <si>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</si>
  <si>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</si>
  <si>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</si>
  <si>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</si>
  <si>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</si>
  <si>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</si>
  <si>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</si>
  <si>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</si>
  <si>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</si>
  <si>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</si>
  <si>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</si>
  <si>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</si>
  <si>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</si>
  <si>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</si>
  <si>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</si>
  <si>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</si>
  <si>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</si>
  <si>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</si>
  <si>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</si>
  <si>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</si>
  <si>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</si>
  <si>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</si>
  <si>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</si>
  <si>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</si>
  <si>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</si>
  <si>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</si>
  <si>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</si>
  <si>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</si>
  <si>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</si>
  <si>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</si>
  <si>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</si>
  <si>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</si>
  <si>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</si>
  <si>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</si>
  <si>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</si>
  <si>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</si>
  <si>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</si>
  <si>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</si>
  <si>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</si>
  <si>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</si>
  <si>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</si>
  <si>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</si>
  <si>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</si>
  <si>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</si>
  <si>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</si>
  <si>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</si>
  <si>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</si>
  <si>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</si>
  <si>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</si>
  <si>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</si>
  <si>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</si>
  <si>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</si>
  <si>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</si>
  <si>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</si>
  <si>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</si>
  <si>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</si>
  <si>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</si>
  <si>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</si>
  <si>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</si>
  <si>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</si>
  <si>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</si>
  <si>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</si>
  <si>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</si>
  <si>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</si>
  <si>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</si>
  <si>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</si>
  <si>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</si>
  <si>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</si>
  <si>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</si>
  <si>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</si>
  <si>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</si>
  <si>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</si>
  <si>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</si>
  <si>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</si>
  <si>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</si>
  <si>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</si>
  <si>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</si>
  <si>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</si>
  <si>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</si>
  <si>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</si>
  <si>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</si>
  <si>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</si>
  <si>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</si>
  <si>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</si>
  <si>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</si>
  <si>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</si>
  <si>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</si>
  <si>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</si>
  <si>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</si>
  <si>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</si>
  <si>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</si>
  <si>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</si>
  <si>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</si>
  <si>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</si>
  <si>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</si>
  <si>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</si>
  <si>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</si>
  <si>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</si>
  <si>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</si>
  <si>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</si>
  <si>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</si>
  <si>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</si>
  <si>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</si>
  <si>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</si>
  <si>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</si>
  <si>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</si>
  <si>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</si>
  <si>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</si>
  <si>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</si>
  <si>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</si>
  <si>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</si>
  <si>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</si>
  <si>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</si>
  <si>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</si>
  <si>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</si>
  <si>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</si>
  <si>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</si>
  <si>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</si>
  <si>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</si>
  <si>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</si>
  <si>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</si>
  <si>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</si>
  <si>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</si>
  <si>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</si>
  <si>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</si>
  <si>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</si>
  <si>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</si>
  <si>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</si>
  <si>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</si>
  <si>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</si>
  <si>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</si>
  <si>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</si>
  <si>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</si>
  <si>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</si>
  <si>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</si>
  <si>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</si>
  <si>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</si>
  <si>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</si>
  <si>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</si>
  <si>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</si>
  <si>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</si>
  <si>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</si>
  <si>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</si>
  <si>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</si>
  <si>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</si>
  <si>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</si>
  <si>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</si>
  <si>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</si>
  <si>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</si>
  <si>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</si>
  <si>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</si>
  <si>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</si>
  <si>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</si>
  <si>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</si>
  <si>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</si>
  <si>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</si>
  <si>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</si>
  <si>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</si>
  <si>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</si>
  <si>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</si>
  <si>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</si>
  <si>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</si>
  <si>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</si>
  <si>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</si>
  <si>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</si>
  <si>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</si>
  <si>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</si>
  <si>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</si>
  <si>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</si>
  <si>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</si>
  <si>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</si>
  <si>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</si>
  <si>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</si>
  <si>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</si>
  <si>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</si>
  <si>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</si>
  <si>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</si>
  <si>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</si>
  <si>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</si>
  <si>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</si>
  <si>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</si>
  <si>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</si>
  <si>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</si>
  <si>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</si>
  <si>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</si>
  <si>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</si>
  <si>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</si>
  <si>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</si>
  <si>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</si>
  <si>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</si>
  <si>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</si>
  <si>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</si>
  <si>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</si>
  <si>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</si>
  <si>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</si>
  <si>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</si>
  <si>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</si>
  <si>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</si>
  <si>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</si>
  <si>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</si>
  <si>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</si>
  <si>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</si>
  <si>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</si>
  <si>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</si>
  <si>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</si>
  <si>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</si>
  <si>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</si>
  <si>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</si>
  <si>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</si>
  <si>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</si>
  <si>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</si>
  <si>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</si>
  <si>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</si>
  <si>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</si>
  <si>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</si>
  <si>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</si>
  <si>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</si>
  <si>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</si>
  <si>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</si>
  <si>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</si>
  <si>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</si>
  <si>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</si>
  <si>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</si>
  <si>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</si>
  <si>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</si>
  <si>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</si>
  <si>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</si>
  <si>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</si>
  <si>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</si>
  <si>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</si>
  <si>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</si>
  <si>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</si>
  <si>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</si>
  <si>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</si>
  <si>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</si>
  <si>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</si>
  <si>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</si>
  <si>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</si>
  <si>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</si>
  <si>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</si>
  <si>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</si>
  <si>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</si>
  <si>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</si>
  <si>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</si>
  <si>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</si>
  <si>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</si>
  <si>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</si>
  <si>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</si>
  <si>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</si>
  <si>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</si>
  <si>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</si>
  <si>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</si>
  <si>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</si>
  <si>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</si>
  <si>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</si>
  <si>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</si>
  <si>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</si>
  <si>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</si>
  <si>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</si>
  <si>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</si>
  <si>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</si>
  <si>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</si>
  <si>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</si>
  <si>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</si>
  <si>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</si>
  <si>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</si>
  <si>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</si>
  <si>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</si>
  <si>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</si>
  <si>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</si>
  <si>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</si>
  <si>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</si>
  <si>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</si>
  <si>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</si>
  <si>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</si>
  <si>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</si>
  <si>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</si>
  <si>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</si>
  <si>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</si>
  <si>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</si>
  <si>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</si>
  <si>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</si>
  <si>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</si>
  <si>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</si>
  <si>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</si>
  <si>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</si>
  <si>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</si>
  <si>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</si>
  <si>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</si>
  <si>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</si>
  <si>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</si>
  <si>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</si>
  <si>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</si>
  <si>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</si>
  <si>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</si>
  <si>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</si>
  <si>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</si>
  <si>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</si>
  <si>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</si>
  <si>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</si>
  <si>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</si>
  <si>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</si>
  <si>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</si>
  <si>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</si>
  <si>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</si>
  <si>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</si>
  <si>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</si>
  <si>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</si>
  <si>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</si>
  <si>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</si>
  <si>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</si>
  <si>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</si>
  <si>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</si>
  <si>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</si>
  <si>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</si>
  <si>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</si>
  <si>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</si>
  <si>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</si>
  <si>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</si>
  <si>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</si>
  <si>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</si>
  <si>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</si>
  <si>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</si>
  <si>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</si>
  <si>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</si>
  <si>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</si>
  <si>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</si>
  <si>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</si>
  <si>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</si>
  <si>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</si>
  <si>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</si>
  <si>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</si>
  <si>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</si>
  <si>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</si>
  <si>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</si>
  <si>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</si>
  <si>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</si>
  <si>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</si>
  <si>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</si>
  <si>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</si>
  <si>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</si>
  <si>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</si>
  <si>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</si>
  <si>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</si>
  <si>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</si>
  <si>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</si>
  <si>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</si>
  <si>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</si>
  <si>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</si>
  <si>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</si>
  <si>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</si>
  <si>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</si>
  <si>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</si>
  <si>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</si>
  <si>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</si>
  <si>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</si>
  <si>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</si>
  <si>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</si>
  <si>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</si>
  <si>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</si>
  <si>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</si>
  <si>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</si>
  <si>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</si>
  <si>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</si>
  <si>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</si>
  <si>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</si>
  <si>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</si>
  <si>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</si>
  <si>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</si>
  <si>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</si>
  <si>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</si>
  <si>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</si>
  <si>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</si>
  <si>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</si>
  <si>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</si>
  <si>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</si>
  <si>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</si>
  <si>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</si>
  <si>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</si>
  <si>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</si>
  <si>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</si>
  <si>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</si>
  <si>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</si>
  <si>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</si>
  <si>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</si>
  <si>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</si>
  <si>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</si>
  <si>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</si>
  <si>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</si>
  <si>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</si>
  <si>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</si>
  <si>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</si>
  <si>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</si>
  <si>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</si>
  <si>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</si>
  <si>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</si>
  <si>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</si>
  <si>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</si>
  <si>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</si>
  <si>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</si>
  <si>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</si>
  <si>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</si>
  <si>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</si>
  <si>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</si>
  <si>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</si>
  <si>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</si>
  <si>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</si>
  <si>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</si>
  <si>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</si>
  <si>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</si>
  <si>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</si>
  <si>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</si>
  <si>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</si>
  <si>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</si>
  <si>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</si>
  <si>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</si>
  <si>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</si>
  <si>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</si>
  <si>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</si>
  <si>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</si>
  <si>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</si>
  <si>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</si>
  <si>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</si>
  <si>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</si>
  <si>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</si>
  <si>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</si>
  <si>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</si>
  <si>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</si>
  <si>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</si>
  <si>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</si>
  <si>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</si>
  <si>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</si>
  <si>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</si>
  <si>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</si>
  <si>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</si>
  <si>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</si>
  <si>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</si>
  <si>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</si>
  <si>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</si>
  <si>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</si>
  <si>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</si>
  <si>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</si>
  <si>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</si>
  <si>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</si>
  <si>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</si>
  <si>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</si>
  <si>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</si>
  <si>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</si>
  <si>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</si>
  <si>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</si>
  <si>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</si>
  <si>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</si>
  <si>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</si>
  <si>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</si>
  <si>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</si>
  <si>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</si>
  <si>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</si>
  <si>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</si>
  <si>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</si>
  <si>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</si>
  <si>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</si>
  <si>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</si>
  <si>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</si>
  <si>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</si>
  <si>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</si>
  <si>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</si>
  <si>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</si>
  <si>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</si>
  <si>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</si>
  <si>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</si>
  <si>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</si>
  <si>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</si>
  <si>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</si>
  <si>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</si>
  <si>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</si>
  <si>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</si>
  <si>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</si>
  <si>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</si>
  <si>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</si>
  <si>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</si>
  <si>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</si>
  <si>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</si>
  <si>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</si>
  <si>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</si>
  <si>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</si>
  <si>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</si>
  <si>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</si>
  <si>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</si>
  <si>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</si>
  <si>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</si>
  <si>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</si>
  <si>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</si>
  <si>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</si>
  <si>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</si>
  <si>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</si>
  <si>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</si>
  <si>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</si>
  <si>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</si>
  <si>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</si>
  <si>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</si>
  <si>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</si>
  <si>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</si>
  <si>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</si>
  <si>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</si>
  <si>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</si>
  <si>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</si>
  <si>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</si>
  <si>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</si>
  <si>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</si>
  <si>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</si>
  <si>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</si>
  <si>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</si>
  <si>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</si>
  <si>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</si>
  <si>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</si>
  <si>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</si>
  <si>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</si>
  <si>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</si>
  <si>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</si>
  <si>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</si>
  <si>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</si>
  <si>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</si>
  <si>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</si>
  <si>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</si>
  <si>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</si>
  <si>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</si>
  <si>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</si>
  <si>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</si>
  <si>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</si>
  <si>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</si>
  <si>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</si>
  <si>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</si>
  <si>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</si>
  <si>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</si>
  <si>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</si>
  <si>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</si>
  <si>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</si>
  <si>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</si>
  <si>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</si>
  <si>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</si>
  <si>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</si>
  <si>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</si>
  <si>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</si>
  <si>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</si>
  <si>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</si>
  <si>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</si>
  <si>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</si>
  <si>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</si>
  <si>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</si>
  <si>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</si>
  <si>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</si>
  <si>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</si>
  <si>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</si>
  <si>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</si>
  <si>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</si>
  <si>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</si>
  <si>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</si>
  <si>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</si>
  <si>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</si>
  <si>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</si>
  <si>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</si>
  <si>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</si>
  <si>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</si>
  <si>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</si>
  <si>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</si>
  <si>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</si>
  <si>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</si>
  <si>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</si>
  <si>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</si>
  <si>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</si>
  <si>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</si>
  <si>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</si>
  <si>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</si>
  <si>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</si>
  <si>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</si>
  <si>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</si>
  <si>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</si>
  <si>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</si>
  <si>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</si>
  <si>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</si>
  <si>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</si>
  <si>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</si>
  <si>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</si>
  <si>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</si>
  <si>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</si>
  <si>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</si>
  <si>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</si>
  <si>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</si>
  <si>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</si>
  <si>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</si>
  <si>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</si>
  <si>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</si>
  <si>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</si>
  <si>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</si>
  <si>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</si>
  <si>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</si>
  <si>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</si>
  <si>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</si>
  <si>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</si>
  <si>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</si>
  <si>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</si>
  <si>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</si>
  <si>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</si>
  <si>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</si>
  <si>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</si>
  <si>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</si>
  <si>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</si>
  <si>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</si>
  <si>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</si>
  <si>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</si>
  <si>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</si>
  <si>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</si>
  <si>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</si>
  <si>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</si>
  <si>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</si>
  <si>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</si>
  <si>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</si>
  <si>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</si>
  <si>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</si>
  <si>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</si>
  <si>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</si>
  <si>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</si>
  <si>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</si>
  <si>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</si>
  <si>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</si>
  <si>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</si>
  <si>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</si>
  <si>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</si>
  <si>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</si>
  <si>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</si>
  <si>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</si>
  <si>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</si>
  <si>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</si>
  <si>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</si>
  <si>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</si>
  <si>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</si>
  <si>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</si>
  <si>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</si>
  <si>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</si>
  <si>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</si>
  <si>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</si>
  <si>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</si>
  <si>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</si>
  <si>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</si>
  <si>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</si>
  <si>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</si>
  <si>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</si>
  <si>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</si>
  <si>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</si>
  <si>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</si>
  <si>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</si>
  <si>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</si>
  <si>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</si>
  <si>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</si>
  <si>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</si>
  <si>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</si>
  <si>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</si>
  <si>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</si>
  <si>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</si>
  <si>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</si>
  <si>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</si>
  <si>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</si>
  <si>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</si>
  <si>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</si>
  <si>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</si>
  <si>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</si>
  <si>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</si>
  <si>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</si>
  <si>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</si>
  <si>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</si>
  <si>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</si>
  <si>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</si>
  <si>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</si>
  <si>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</si>
  <si>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</si>
  <si>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</si>
  <si>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</si>
  <si>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</si>
  <si>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</si>
  <si>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</si>
  <si>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</si>
  <si>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</si>
  <si>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</si>
  <si>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</si>
  <si>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</si>
  <si>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</si>
  <si>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</si>
  <si>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</si>
  <si>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</si>
  <si>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</si>
  <si>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</si>
  <si>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</si>
  <si>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</si>
  <si>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</si>
  <si>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</si>
  <si>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</si>
  <si>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</si>
  <si>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</si>
  <si>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</si>
  <si>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</si>
  <si>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</si>
  <si>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</si>
  <si>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</si>
  <si>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</si>
  <si>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</si>
  <si>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</si>
  <si>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</si>
  <si>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</si>
  <si>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</si>
  <si>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</si>
  <si>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</si>
  <si>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</si>
  <si>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</si>
  <si>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</si>
  <si>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</si>
  <si>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</si>
  <si>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</si>
  <si>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</si>
  <si>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</si>
  <si>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</si>
  <si>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</si>
  <si>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</si>
  <si>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</si>
  <si>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</si>
  <si>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</si>
  <si>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</si>
  <si>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</si>
  <si>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</si>
  <si>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</si>
  <si>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</si>
  <si>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</si>
  <si>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</si>
  <si>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</si>
  <si>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</si>
  <si>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</si>
  <si>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</si>
  <si>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</si>
  <si>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</si>
  <si>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</si>
  <si>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</si>
  <si>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</si>
  <si>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</si>
  <si>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</si>
  <si>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</si>
  <si>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</si>
  <si>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</si>
  <si>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</si>
  <si>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</si>
  <si>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</si>
  <si>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</si>
  <si>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</si>
  <si>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</si>
  <si>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</si>
  <si>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</si>
  <si>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</si>
  <si>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</si>
  <si>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</si>
  <si>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</si>
  <si>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</si>
  <si>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</si>
  <si>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</si>
  <si>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</si>
  <si>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</si>
  <si>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</si>
  <si>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</si>
  <si>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</si>
  <si>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</si>
  <si>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</si>
  <si>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</si>
  <si>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</si>
  <si>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</si>
  <si>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</si>
  <si>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</si>
  <si>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</si>
  <si>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</si>
  <si>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</si>
  <si>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</si>
  <si>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</si>
  <si>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</si>
  <si>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</si>
  <si>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</si>
  <si>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</si>
  <si>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</si>
  <si>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</si>
  <si>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</si>
  <si>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</si>
  <si>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</si>
  <si>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</si>
  <si>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</si>
  <si>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</si>
  <si>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</si>
  <si>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</si>
  <si>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</si>
  <si>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</si>
  <si>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</si>
  <si>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</si>
  <si>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</si>
  <si>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</si>
  <si>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</si>
  <si>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</si>
  <si>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</si>
  <si>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</si>
  <si>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</si>
  <si>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</si>
  <si>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</si>
  <si>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</si>
  <si>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</si>
  <si>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</si>
  <si>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</si>
  <si>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</si>
  <si>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</si>
  <si>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</si>
  <si>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</si>
  <si>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</si>
  <si>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</si>
  <si>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</si>
  <si>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</si>
  <si>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</si>
  <si>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</si>
  <si>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</si>
  <si>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</si>
  <si>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</si>
  <si>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</si>
  <si>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</si>
  <si>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</si>
  <si>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</si>
  <si>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</si>
  <si>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</si>
  <si>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</si>
  <si>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</si>
  <si>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</si>
  <si>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</si>
  <si>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</si>
  <si>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</si>
  <si>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</si>
  <si>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</si>
  <si>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</si>
  <si>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</si>
  <si>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</si>
  <si>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</si>
  <si>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</si>
  <si>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</si>
  <si>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</si>
  <si>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</si>
  <si>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</si>
  <si>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</si>
  <si>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</si>
  <si>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</si>
  <si>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</si>
  <si>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</si>
  <si>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</si>
  <si>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</si>
  <si>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</si>
  <si>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</si>
  <si>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</si>
  <si>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</si>
  <si>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</si>
  <si>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</si>
  <si>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</si>
  <si>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</si>
  <si>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</si>
  <si>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</si>
  <si>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</si>
  <si>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</si>
  <si>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</si>
  <si>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</si>
  <si>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</si>
  <si>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</si>
  <si>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</si>
  <si>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</si>
  <si>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</si>
  <si>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</si>
  <si>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</si>
  <si>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</si>
  <si>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</si>
  <si>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</si>
  <si>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</si>
  <si>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</si>
  <si>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</si>
  <si>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</si>
  <si>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</si>
  <si>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</si>
  <si>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</si>
  <si>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</si>
  <si>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</si>
  <si>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</si>
  <si>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</si>
  <si>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</si>
  <si>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</si>
  <si>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</si>
  <si>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</si>
  <si>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</si>
  <si>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</si>
  <si>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</si>
  <si>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</si>
  <si>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</si>
  <si>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</si>
  <si>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</si>
  <si>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</si>
  <si>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</si>
  <si>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</si>
  <si>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</si>
  <si>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</si>
  <si>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</si>
  <si>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</si>
  <si>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</si>
  <si>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</si>
  <si>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</si>
  <si>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</si>
  <si>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</si>
  <si>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</si>
  <si>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</si>
  <si>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</si>
  <si>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</si>
  <si>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</si>
  <si>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</si>
  <si>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</si>
  <si>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</si>
  <si>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</si>
  <si>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</si>
  <si>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</si>
  <si>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</si>
  <si>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</si>
  <si>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</si>
  <si>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</si>
  <si>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</si>
  <si>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</si>
  <si>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</si>
  <si>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</si>
  <si>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</si>
  <si>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</si>
  <si>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</si>
  <si>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</si>
  <si>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</si>
  <si>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</si>
  <si>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</si>
  <si>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</si>
  <si>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</si>
  <si>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</si>
  <si>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</si>
  <si>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</si>
  <si>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</si>
  <si>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</si>
  <si>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</si>
  <si>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</si>
  <si>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</si>
  <si>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</si>
  <si>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</si>
  <si>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</si>
  <si>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</si>
  <si>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</si>
  <si>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</si>
  <si>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</si>
  <si>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</si>
  <si>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</si>
  <si>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</si>
  <si>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</si>
  <si>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</si>
  <si>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</si>
  <si>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</si>
  <si>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</si>
  <si>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</si>
  <si>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</si>
  <si>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</si>
  <si>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</si>
  <si>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</si>
  <si>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</si>
  <si>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</si>
  <si>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</si>
  <si>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</si>
  <si>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</si>
  <si>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</si>
  <si>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</si>
  <si>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</si>
  <si>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</si>
  <si>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</si>
  <si>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</si>
  <si>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</si>
  <si>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</si>
  <si>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</si>
  <si>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</si>
  <si>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</si>
  <si>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</si>
  <si>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</si>
  <si>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</si>
  <si>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</si>
  <si>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</si>
  <si>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</si>
  <si>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</si>
  <si>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</si>
  <si>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</si>
  <si>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</si>
  <si>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</si>
  <si>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</si>
  <si>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</si>
  <si>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</si>
  <si>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</si>
  <si>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</si>
  <si>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</si>
  <si>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</si>
  <si>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</si>
  <si>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</si>
  <si>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</si>
  <si>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</si>
  <si>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</si>
  <si>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</si>
  <si>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</si>
  <si>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</si>
  <si>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</si>
  <si>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</si>
  <si>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</si>
  <si>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</si>
  <si>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</si>
  <si>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</si>
  <si>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</si>
  <si>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</si>
  <si>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</si>
  <si>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</si>
  <si>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</si>
  <si>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</si>
  <si>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</si>
  <si>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</si>
  <si>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</si>
  <si>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</si>
  <si>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</si>
  <si>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</si>
  <si>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</si>
  <si>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</si>
  <si>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</si>
  <si>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</si>
  <si>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</si>
  <si>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</si>
  <si>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</si>
  <si>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</si>
  <si>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</si>
  <si>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</si>
  <si>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</si>
  <si>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</si>
  <si>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</si>
  <si>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</si>
  <si>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</si>
  <si>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</si>
  <si>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</si>
  <si>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</si>
  <si>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</si>
  <si>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</si>
  <si>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</si>
  <si>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</si>
  <si>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</si>
  <si>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</si>
  <si>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</si>
  <si>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</si>
  <si>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</si>
  <si>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</si>
  <si>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</si>
  <si>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</si>
  <si>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</si>
  <si>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</si>
  <si>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</si>
  <si>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</si>
  <si>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</si>
  <si>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</si>
  <si>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</si>
  <si>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</si>
  <si>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</si>
  <si>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</si>
  <si>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</si>
  <si>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</si>
  <si>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</si>
  <si>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</si>
  <si>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</si>
  <si>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</si>
  <si>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</si>
  <si>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</si>
  <si>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</si>
  <si>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</si>
  <si>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</si>
  <si>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</si>
  <si>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</si>
  <si>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</si>
  <si>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</si>
  <si>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</si>
  <si>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</si>
  <si>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</si>
  <si>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</si>
  <si>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</si>
  <si>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</si>
  <si>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</si>
  <si>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</si>
  <si>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</si>
  <si>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</si>
  <si>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</si>
  <si>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</si>
  <si>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</si>
  <si>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</si>
  <si>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</si>
  <si>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</si>
  <si>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</si>
  <si>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</si>
  <si>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</si>
  <si>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</si>
  <si>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</si>
  <si>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</si>
  <si>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</si>
  <si>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</si>
  <si>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</si>
  <si>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</si>
  <si>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</si>
  <si>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</si>
  <si>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</si>
  <si>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</si>
  <si>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</si>
  <si>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</si>
  <si>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</si>
  <si>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</si>
  <si>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</si>
  <si>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</si>
  <si>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</si>
  <si>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</si>
  <si>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</si>
  <si>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</si>
  <si>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</si>
  <si>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</si>
  <si>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</si>
  <si>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</si>
  <si>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</si>
  <si>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</si>
  <si>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</si>
  <si>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</si>
  <si>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</si>
  <si>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</si>
  <si>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</si>
  <si>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</si>
  <si>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</si>
  <si>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</si>
  <si>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</si>
  <si>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</si>
  <si>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</si>
  <si>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</si>
  <si>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</si>
  <si>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</si>
  <si>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</si>
  <si>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</si>
  <si>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</si>
  <si>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</si>
  <si>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</si>
  <si>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</si>
  <si>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</si>
  <si>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</si>
  <si>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</si>
  <si>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</si>
  <si>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</si>
  <si>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</si>
  <si>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</si>
  <si>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</si>
  <si>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</si>
  <si>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</si>
  <si>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</si>
  <si>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</si>
  <si>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</si>
  <si>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</si>
  <si>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</si>
  <si>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</si>
  <si>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</si>
  <si>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</si>
  <si>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</si>
  <si>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</si>
  <si>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</si>
  <si>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</si>
  <si>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</si>
  <si>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</si>
  <si>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</si>
  <si>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</si>
  <si>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</si>
  <si>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</si>
  <si>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</si>
  <si>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</si>
  <si>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</si>
  <si>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</si>
  <si>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</si>
  <si>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</si>
  <si>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</si>
  <si>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</si>
  <si>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</si>
  <si>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</si>
  <si>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</si>
  <si>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</si>
  <si>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</si>
  <si>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</si>
  <si>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</si>
  <si>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</si>
  <si>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</si>
  <si>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</si>
  <si>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</si>
  <si>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</si>
  <si>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</si>
  <si>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</si>
  <si>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</si>
  <si>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</si>
  <si>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</si>
  <si>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</si>
  <si>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</si>
  <si>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</si>
  <si>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</si>
  <si>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</si>
  <si>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</si>
  <si>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</si>
  <si>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</si>
  <si>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</si>
  <si>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</si>
  <si>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</si>
  <si>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</si>
  <si>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</si>
  <si>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</si>
  <si>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</si>
  <si>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</si>
  <si>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</si>
  <si>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</si>
  <si>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</si>
  <si>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</si>
  <si>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</si>
  <si>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</si>
  <si>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</si>
  <si>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</si>
  <si>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</si>
  <si>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</si>
  <si>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</si>
  <si>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</si>
  <si>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</si>
  <si>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</si>
  <si>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</si>
  <si>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</si>
  <si>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</si>
  <si>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</si>
  <si>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</si>
  <si>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</si>
  <si>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</si>
  <si>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</si>
  <si>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</si>
  <si>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</si>
  <si>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</si>
  <si>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</si>
  <si>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</si>
  <si>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</si>
  <si>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</si>
  <si>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</si>
  <si>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</si>
  <si>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</si>
  <si>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</si>
  <si>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</si>
  <si>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</si>
  <si>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</si>
  <si>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</si>
  <si>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</si>
  <si>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</si>
  <si>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</si>
  <si>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</si>
  <si>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</si>
  <si>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</si>
  <si>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</si>
  <si>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</si>
  <si>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</si>
  <si>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</si>
  <si>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</si>
  <si>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</si>
  <si>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</si>
  <si>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</si>
  <si>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</si>
  <si>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</si>
  <si>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</si>
  <si>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</si>
  <si>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</si>
  <si>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</si>
  <si>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</si>
  <si>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</si>
  <si>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</si>
  <si>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</si>
  <si>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</si>
  <si>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</si>
  <si>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</si>
  <si>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</si>
  <si>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</si>
  <si>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</si>
  <si>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</si>
  <si>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</si>
  <si>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</si>
  <si>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</si>
  <si>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</si>
  <si>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</si>
  <si>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</si>
  <si>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</si>
  <si>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</si>
  <si>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</si>
  <si>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</si>
  <si>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</si>
  <si>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</si>
  <si>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</si>
  <si>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</si>
  <si>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</si>
  <si>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</si>
  <si>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</si>
  <si>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</si>
  <si>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</si>
  <si>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</si>
  <si>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</si>
  <si>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</si>
  <si>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</si>
  <si>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</si>
  <si>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</si>
  <si>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</si>
  <si>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</si>
  <si>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</si>
  <si>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</si>
  <si>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</si>
  <si>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</si>
  <si>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</si>
  <si>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</si>
  <si>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</si>
  <si>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</si>
  <si>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</si>
  <si>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</si>
  <si>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</si>
  <si>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</si>
  <si>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</si>
  <si>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</si>
  <si>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</si>
  <si>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</si>
  <si>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</si>
  <si>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</si>
  <si>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</si>
  <si>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</si>
  <si>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</si>
  <si>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</si>
  <si>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</si>
  <si>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</si>
  <si>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</si>
  <si>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</si>
  <si>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</si>
  <si>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</si>
  <si>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</si>
  <si>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</si>
  <si>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</si>
  <si>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</si>
  <si>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</si>
  <si>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</si>
  <si>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</si>
  <si>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</si>
  <si>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</si>
  <si>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</si>
  <si>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</si>
  <si>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</si>
  <si>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</si>
  <si>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</si>
  <si>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</si>
  <si>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</si>
  <si>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</si>
  <si>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</si>
  <si>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</si>
  <si>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</si>
  <si>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</si>
  <si>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</si>
  <si>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</si>
  <si>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</si>
  <si>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</si>
  <si>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</si>
  <si>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</si>
  <si>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</si>
  <si>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</si>
  <si>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</si>
  <si>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</si>
  <si>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</si>
  <si>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</si>
  <si>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</si>
  <si>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</si>
  <si>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</si>
  <si>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</si>
  <si>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</si>
  <si>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</si>
  <si>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</si>
  <si>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</si>
  <si>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</si>
  <si>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</si>
  <si>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</si>
  <si>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</si>
  <si>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</si>
  <si>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</si>
  <si>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</si>
  <si>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</si>
  <si>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</si>
  <si>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</si>
  <si>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</si>
  <si>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</si>
  <si>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</si>
  <si>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</si>
  <si>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</si>
  <si>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</si>
  <si>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</si>
  <si>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</si>
  <si>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</si>
  <si>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</si>
  <si>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</si>
  <si>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</si>
  <si>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</si>
  <si>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</si>
  <si>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</si>
  <si>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</si>
  <si>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</si>
  <si>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</si>
  <si>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</si>
  <si>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</si>
  <si>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</si>
  <si>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</si>
  <si>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</si>
  <si>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</si>
  <si>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</si>
  <si>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</si>
  <si>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</si>
  <si>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</si>
  <si>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</si>
  <si>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</si>
  <si>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</si>
  <si>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</si>
  <si>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</si>
  <si>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</si>
  <si>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</si>
  <si>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</si>
  <si>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</si>
  <si>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</si>
  <si>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</si>
  <si>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</si>
  <si>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</si>
  <si>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</si>
  <si>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</si>
  <si>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</si>
  <si>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</si>
  <si>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</si>
  <si>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</si>
  <si>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</si>
  <si>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</si>
  <si>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</si>
  <si>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</si>
  <si>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</si>
  <si>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</si>
  <si>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</si>
  <si>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</si>
  <si>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</si>
  <si>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</si>
  <si>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</si>
  <si>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</si>
  <si>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</si>
  <si>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</si>
  <si>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</si>
  <si>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</si>
  <si>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</si>
  <si>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</si>
  <si>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</si>
  <si>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</si>
  <si>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</si>
  <si>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</si>
  <si>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</si>
  <si>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</si>
  <si>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</si>
  <si>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</si>
  <si>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</si>
  <si>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</si>
  <si>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</si>
  <si>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</si>
  <si>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</si>
  <si>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</si>
  <si>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</si>
  <si>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</si>
  <si>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</si>
  <si>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</si>
  <si>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</si>
  <si>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</si>
  <si>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</si>
  <si>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</si>
  <si>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</si>
  <si>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</si>
  <si>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</si>
  <si>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</si>
  <si>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</si>
  <si>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</si>
  <si>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</si>
  <si>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</si>
  <si>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</si>
  <si>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</si>
  <si>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</si>
  <si>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</si>
  <si>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</si>
  <si>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</si>
  <si>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</si>
  <si>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</si>
  <si>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</si>
  <si>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</si>
  <si>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</si>
  <si>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</si>
  <si>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</si>
  <si>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</si>
  <si>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</si>
  <si>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</si>
  <si>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</si>
  <si>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</si>
  <si>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</si>
  <si>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</si>
  <si>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</si>
  <si>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</si>
  <si>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</si>
  <si>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</si>
  <si>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</si>
  <si>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</si>
  <si>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</si>
  <si>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</si>
  <si>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</si>
  <si>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</si>
  <si>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</si>
  <si>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</si>
  <si>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</si>
  <si>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</si>
  <si>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</si>
  <si>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</si>
  <si>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</si>
  <si>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</si>
  <si>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</si>
  <si>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</si>
  <si>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</si>
  <si>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</si>
  <si>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</si>
  <si>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</si>
  <si>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</si>
  <si>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</si>
  <si>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</si>
  <si>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</si>
  <si>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</si>
  <si>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</si>
  <si>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</si>
  <si>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</si>
  <si>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</si>
  <si>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</si>
  <si>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</si>
  <si>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</si>
  <si>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</si>
  <si>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</si>
  <si>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</si>
  <si>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</si>
  <si>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</si>
  <si>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</si>
  <si>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</si>
  <si>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</si>
  <si>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</si>
  <si>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</si>
  <si>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</si>
  <si>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</si>
  <si>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</si>
  <si>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</si>
  <si>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</si>
  <si>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</si>
  <si>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</si>
  <si>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</si>
  <si>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</si>
  <si>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</si>
  <si>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</si>
  <si>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</si>
  <si>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</si>
  <si>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</si>
  <si>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</si>
  <si>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</si>
  <si>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</si>
  <si>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</si>
  <si>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</si>
  <si>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</si>
  <si>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</si>
  <si>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</si>
  <si>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</si>
  <si>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</si>
  <si>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</si>
  <si>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</si>
  <si>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</si>
  <si>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</si>
  <si>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</si>
  <si>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</si>
  <si>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</si>
  <si>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</si>
  <si>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</si>
  <si>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</si>
  <si>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</si>
  <si>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</si>
  <si>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</si>
  <si>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</si>
  <si>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</si>
  <si>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</si>
  <si>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</si>
  <si>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</si>
  <si>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</si>
  <si>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</si>
  <si>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</si>
  <si>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</si>
  <si>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</si>
  <si>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</si>
  <si>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</si>
  <si>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زاگرس 9623 تا</t>
  </si>
  <si>
    <t>23/7/1399</t>
  </si>
  <si>
    <t>زاگرس 361 تا</t>
  </si>
  <si>
    <t>وغدیر 460560 تا</t>
  </si>
  <si>
    <t>پارس 70659 تا 15939.8</t>
  </si>
  <si>
    <t>فروش وغدیر و خرید زاگرس</t>
  </si>
  <si>
    <t>نسبت پارس به وغدیر</t>
  </si>
  <si>
    <t>تبدیل وغدیر به پارس</t>
  </si>
  <si>
    <t>تبدیل پارس به وغدیر</t>
  </si>
  <si>
    <t>نسبت زاگرس به وغدیر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</si>
</sst>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3"/>
  <sheetViews>
    <sheetView topLeftCell="M63" zoomScale="85" zoomScaleNormal="85" workbookViewId="0">
      <selection activeCell="Q450" sqref="Q4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5735400775.5730858</v>
      </c>
      <c r="M21" s="166" t="s">
        <v>4277</v>
      </c>
      <c r="N21" s="111">
        <f>O21*P21</f>
        <v>2120951490</v>
      </c>
      <c r="O21" s="97">
        <v>1383530</v>
      </c>
      <c r="P21" s="183">
        <f>P45</f>
        <v>1533</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1150022762</v>
      </c>
      <c r="O22" s="97">
        <v>67186</v>
      </c>
      <c r="P22" s="183">
        <f>P44</f>
        <v>17117</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178526110</v>
      </c>
      <c r="O23" s="97">
        <v>11137</v>
      </c>
      <c r="P23" s="183">
        <f>P43</f>
        <v>16030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5936475365.5730858</v>
      </c>
      <c r="G24" s="93">
        <f t="shared" si="0"/>
        <v>-5656169020.1911469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66105854</v>
      </c>
      <c r="O26" s="67">
        <v>3862</v>
      </c>
      <c r="P26" s="97">
        <f>P44</f>
        <v>17117</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10419500</v>
      </c>
      <c r="O27" s="67">
        <v>650</v>
      </c>
      <c r="P27" s="97">
        <f>P43</f>
        <v>16030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249359313</v>
      </c>
      <c r="O28" s="67">
        <v>162661</v>
      </c>
      <c r="P28" s="97">
        <f>P45</f>
        <v>1533</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-W144</f>
        <v>-5735400775.5730858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48458227</v>
      </c>
      <c r="O41" s="67">
        <v>2831</v>
      </c>
      <c r="P41" s="67">
        <f>P44</f>
        <v>17117</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48458227</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332599793</v>
      </c>
      <c r="M43" s="19" t="s">
        <v>4359</v>
      </c>
      <c r="N43" s="115">
        <f t="shared" si="16"/>
        <v>1204365960</v>
      </c>
      <c r="O43" s="67">
        <v>75132</v>
      </c>
      <c r="P43" s="67">
        <v>16030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770692925</v>
      </c>
      <c r="O44" s="67">
        <v>45025</v>
      </c>
      <c r="P44" s="67">
        <v>17117</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4052364393</v>
      </c>
      <c r="O45" s="97">
        <v>2643421</v>
      </c>
      <c r="P45" s="97">
        <v>1533</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f>O45+460560</f>
        <v>3103981</v>
      </c>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-W145</f>
        <v>-127276829.406156</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3932521274.0207582</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5936475365.5730858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6036475365.5730858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1096297255.4284043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228178570.7462979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8936.7253750815398</v>
      </c>
      <c r="G100" s="197">
        <f>P45</f>
        <v>1533</v>
      </c>
      <c r="H100" s="197" t="s">
        <v>4717</v>
      </c>
      <c r="I100" s="197" t="s">
        <v>5340</v>
      </c>
      <c r="J100" s="211" t="s">
        <v>4221</v>
      </c>
      <c r="K100" s="197">
        <v>210</v>
      </c>
      <c r="L100" s="212">
        <f t="shared" ref="L100:L105" si="41">K100*$L$108</f>
        <v>2877000000</v>
      </c>
      <c r="M100" s="212">
        <f>N21+N28+N45+N41</f>
        <v>6471133423</v>
      </c>
      <c r="N100" s="181">
        <f t="shared" ref="N100:N105" si="42">L100-M100</f>
        <v>-3594133423</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17117</v>
      </c>
      <c r="H101" s="210" t="s">
        <v>4879</v>
      </c>
      <c r="I101" s="210" t="s">
        <v>5341</v>
      </c>
      <c r="J101" s="32" t="s">
        <v>4363</v>
      </c>
      <c r="K101" s="210">
        <v>33</v>
      </c>
      <c r="L101" s="1">
        <f t="shared" si="41"/>
        <v>452100000</v>
      </c>
      <c r="M101" s="1">
        <f>N44+N26+N22</f>
        <v>1986821541</v>
      </c>
      <c r="N101" s="111">
        <f t="shared" si="42"/>
        <v>-1534721541</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16030</v>
      </c>
      <c r="H102" s="197" t="s">
        <v>4997</v>
      </c>
      <c r="I102" s="197" t="s">
        <v>5342</v>
      </c>
      <c r="J102" s="211" t="s">
        <v>4359</v>
      </c>
      <c r="K102" s="197">
        <v>0</v>
      </c>
      <c r="L102" s="212">
        <f t="shared" si="41"/>
        <v>0</v>
      </c>
      <c r="M102" s="212">
        <f>N43+N23</f>
        <v>1382892070</v>
      </c>
      <c r="N102" s="181">
        <f t="shared" si="42"/>
        <v>-1382892070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-425282441</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1533</v>
      </c>
      <c r="H117" s="210" t="s">
        <v>4221</v>
      </c>
      <c r="I117" s="210">
        <v>241029</v>
      </c>
      <c r="J117" s="1">
        <f>I117*G117</f>
        <v>369497457</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17117</v>
      </c>
      <c r="H118" s="210" t="s">
        <v>4363</v>
      </c>
      <c r="I118" s="210">
        <v>2535</v>
      </c>
      <c r="J118" s="1">
        <f>I118*G118</f>
        <v>43391595</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332966637</v>
      </c>
      <c r="J120" s="1">
        <f>SUM(J117:J119)</f>
        <v>412889052</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4" si="63">V123*(1+$W$19/100)</f>
        <v>18526.460884668497</v>
      </c>
      <c r="X123" s="32">
        <f t="shared" ref="X123:X134"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17117</v>
      </c>
      <c r="H124" s="210" t="s">
        <v>4363</v>
      </c>
      <c r="I124" s="210">
        <v>4386</v>
      </c>
      <c r="J124" s="111">
        <f>G124*I124</f>
        <v>75075162</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1130000000</v>
      </c>
      <c r="R125" s="210" t="s">
        <v>5770</v>
      </c>
      <c r="S125" s="210">
        <f>S124-1</f>
        <v>-6</v>
      </c>
      <c r="T125" s="210" t="s">
        <v>5791</v>
      </c>
      <c r="U125" s="210">
        <v>15939.8</v>
      </c>
      <c r="V125" s="97">
        <f t="shared" si="43"/>
        <v>16108.718209315071</v>
      </c>
      <c r="W125" s="32">
        <f t="shared" si="63"/>
        <v>16430.892573501373</v>
      </c>
      <c r="X125" s="32">
        <f t="shared" si="64"/>
        <v>16753.066937687676</v>
      </c>
      <c r="Y125" s="94"/>
      <c r="Z125" s="94"/>
      <c r="AA125" s="94">
        <v>70659</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25729260</v>
      </c>
      <c r="J127" s="210"/>
      <c r="Q127" s="167" t="s">
        <v>25</v>
      </c>
      <c r="R127" s="210" t="s">
        <v>5782</v>
      </c>
      <c r="S127" s="210">
        <f>S126-1</f>
        <v>-12</v>
      </c>
      <c r="T127" s="210" t="s">
        <v>5784</v>
      </c>
      <c r="U127" s="210"/>
      <c r="V127" s="97"/>
      <c r="W127" s="32"/>
      <c r="X127" s="32"/>
      <c r="Y127" s="94"/>
      <c r="Z127" s="94">
        <v>4965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c r="R129" s="210" t="s">
        <v>5785</v>
      </c>
      <c r="S129" s="210">
        <f>S128-1</f>
        <v>-13</v>
      </c>
      <c r="T129" s="210" t="s">
        <v>5786</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f>
        <v>-13</v>
      </c>
      <c r="T130" s="210" t="s">
        <v>5787</v>
      </c>
      <c r="U130" s="210"/>
      <c r="V130" s="97"/>
      <c r="W130" s="32"/>
      <c r="X130" s="32"/>
      <c r="Y130" s="94"/>
      <c r="Z130" s="94">
        <v>9623</v>
      </c>
      <c r="AA130" s="94"/>
      <c r="AH130" s="97">
        <v>110</v>
      </c>
      <c r="AI130" s="111" t="s">
        <v>4597</v>
      </c>
      <c r="AJ130" s="111">
        <v>60000</v>
      </c>
      <c r="AK130" s="97">
        <v>1</v>
      </c>
      <c r="AL130" s="97">
        <f t="shared" si="65"/>
        <v>604</v>
      </c>
      <c r="AM130" s="115">
        <f t="shared" si="62"/>
        <v>36240000</v>
      </c>
      <c r="AN130" s="97" t="s">
        <v>4598</v>
      </c>
    </row>
    <row r="131" spans="7:43">
      <c r="G131" s="1">
        <f>P45</f>
        <v>1533</v>
      </c>
      <c r="H131" s="210" t="s">
        <v>4221</v>
      </c>
      <c r="I131" s="210">
        <v>68595</v>
      </c>
      <c r="J131" s="1">
        <f>G131*I131</f>
        <v>105156135</v>
      </c>
      <c r="Q131" s="167"/>
      <c r="R131" s="210" t="s">
        <v>5788</v>
      </c>
      <c r="S131" s="210">
        <f>S130-1</f>
        <v>-14</v>
      </c>
      <c r="T131" s="210" t="s">
        <v>5789</v>
      </c>
      <c r="U131" s="210"/>
      <c r="V131" s="97"/>
      <c r="W131" s="32"/>
      <c r="X131" s="32"/>
      <c r="Y131" s="94"/>
      <c r="Z131" s="94">
        <v>361</v>
      </c>
      <c r="AA131" s="94"/>
      <c r="AH131" s="20">
        <v>111</v>
      </c>
      <c r="AI131" s="115" t="s">
        <v>4606</v>
      </c>
      <c r="AJ131" s="115">
        <v>4750000</v>
      </c>
      <c r="AK131" s="20">
        <v>0</v>
      </c>
      <c r="AL131" s="97">
        <f t="shared" si="65"/>
        <v>603</v>
      </c>
      <c r="AM131" s="115">
        <f t="shared" si="62"/>
        <v>2864250000</v>
      </c>
      <c r="AN131" s="20"/>
      <c r="AQ131" t="s">
        <v>25</v>
      </c>
    </row>
    <row r="132" spans="7:43">
      <c r="G132" s="210">
        <f>P44</f>
        <v>17117</v>
      </c>
      <c r="H132" s="210" t="s">
        <v>4363</v>
      </c>
      <c r="I132" s="210">
        <v>1703</v>
      </c>
      <c r="J132" s="1">
        <f>G132*I132</f>
        <v>29150251</v>
      </c>
      <c r="K132" t="s">
        <v>25</v>
      </c>
      <c r="P132" t="s">
        <v>25</v>
      </c>
      <c r="Q132" s="167"/>
      <c r="R132" s="210" t="s">
        <v>5788</v>
      </c>
      <c r="S132" s="210">
        <f>S131</f>
        <v>-14</v>
      </c>
      <c r="T132" s="210" t="s">
        <v>5790</v>
      </c>
      <c r="U132" s="210"/>
      <c r="V132" s="97"/>
      <c r="W132" s="32"/>
      <c r="X132" s="32"/>
      <c r="Y132" s="94">
        <v>460560</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97987243</v>
      </c>
      <c r="J133" s="1">
        <f>SUM(J131:J132)</f>
        <v>134306386</v>
      </c>
      <c r="O133" s="94"/>
      <c r="Q133" s="167"/>
      <c r="R133" s="210"/>
      <c r="S133" s="210"/>
      <c r="T133" s="210"/>
      <c r="U133" s="210"/>
      <c r="V133" s="97">
        <f>U133*(1+$R$99+$Q$15*S133/36500)</f>
        <v>0</v>
      </c>
      <c r="W133" s="32">
        <f t="shared" si="63"/>
        <v>0</v>
      </c>
      <c r="X133" s="32">
        <f t="shared" si="64"/>
        <v>0</v>
      </c>
      <c r="Y133" s="94"/>
      <c r="Z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166"/>
      <c r="S134" s="166"/>
      <c r="T134" s="166"/>
      <c r="U134" s="166"/>
      <c r="V134" s="97">
        <f>U134*(1+$R$99+$Q$15*S134/36500)</f>
        <v>0</v>
      </c>
      <c r="W134" s="32">
        <f t="shared" si="63"/>
        <v>0</v>
      </c>
      <c r="X134" s="32">
        <f t="shared" si="64"/>
        <v>0</v>
      </c>
      <c r="Z134" t="s">
        <v>25</v>
      </c>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11">
        <f>SUM(N41:N47)-SUM(Q103:Q134)</f>
        <v>2736805263.0892239</v>
      </c>
      <c r="R135" s="110"/>
      <c r="S135" s="110"/>
      <c r="T135" s="110"/>
      <c r="U135" s="166"/>
      <c r="V135" s="97" t="s">
        <v>25</v>
      </c>
      <c r="W135" s="32"/>
      <c r="X135" s="32"/>
      <c r="Y135" t="s">
        <v>25</v>
      </c>
      <c r="Z135" t="s">
        <v>25</v>
      </c>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26"/>
      <c r="R136" s="179"/>
      <c r="S136" s="179"/>
      <c r="T136" t="s">
        <v>25</v>
      </c>
      <c r="U136" s="94" t="s">
        <v>25</v>
      </c>
      <c r="V136" s="94" t="s">
        <v>25</v>
      </c>
      <c r="W136" s="94" t="s">
        <v>25</v>
      </c>
      <c r="Y136" t="s">
        <v>25</v>
      </c>
      <c r="Z136" t="s">
        <v>25</v>
      </c>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R137" s="32" t="s">
        <v>4523</v>
      </c>
      <c r="S137" s="32" t="s">
        <v>935</v>
      </c>
      <c r="T137" t="s">
        <v>25</v>
      </c>
      <c r="U137" s="94" t="s">
        <v>25</v>
      </c>
      <c r="V137" s="94" t="s">
        <v>25</v>
      </c>
      <c r="W137" s="94" t="s">
        <v>25</v>
      </c>
      <c r="X137" s="120" t="s">
        <v>25</v>
      </c>
      <c r="Y137" t="s">
        <v>25</v>
      </c>
      <c r="Z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R138" s="32">
        <v>77514</v>
      </c>
      <c r="S138" s="167">
        <v>163280211</v>
      </c>
      <c r="T138" t="s">
        <v>25</v>
      </c>
      <c r="U138" s="94" t="s">
        <v>25</v>
      </c>
      <c r="V138" s="120" t="s">
        <v>25</v>
      </c>
      <c r="W138" s="94" t="s">
        <v>25</v>
      </c>
      <c r="X138"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t="s">
        <v>25</v>
      </c>
      <c r="R139" s="32">
        <v>6855</v>
      </c>
      <c r="S139" s="1">
        <f>S138*R139/R138</f>
        <v>14439789.540018577</v>
      </c>
      <c r="T139" s="112" t="s">
        <v>25</v>
      </c>
      <c r="U139" s="94" t="s">
        <v>25</v>
      </c>
      <c r="V139" s="120" t="s">
        <v>25</v>
      </c>
      <c r="W139" s="94" t="s">
        <v>25</v>
      </c>
      <c r="X139"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f>R138-R139</f>
        <v>70659</v>
      </c>
      <c r="S140" s="1">
        <f>R140*S138/R138</f>
        <v>148840421.45998141</v>
      </c>
      <c r="T140" t="s">
        <v>25</v>
      </c>
      <c r="U140" s="120" t="s">
        <v>25</v>
      </c>
      <c r="V140" s="94"/>
      <c r="W140" s="120" t="s">
        <v>25</v>
      </c>
      <c r="X140" t="s">
        <v>25</v>
      </c>
      <c r="Y140" t="s">
        <v>25</v>
      </c>
      <c r="AA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T141" t="s">
        <v>25</v>
      </c>
      <c r="V141" s="94"/>
      <c r="W141"/>
      <c r="X141" t="s">
        <v>25</v>
      </c>
      <c r="Y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Q142" s="94" t="s">
        <v>25</v>
      </c>
      <c r="R142" s="94"/>
      <c r="S142" s="94"/>
      <c r="T142" s="94"/>
      <c r="U142" s="317" t="s">
        <v>4410</v>
      </c>
      <c r="V142" s="317" t="s">
        <v>4423</v>
      </c>
      <c r="W142" s="317" t="s">
        <v>4424</v>
      </c>
      <c r="X142" t="s">
        <v>25</v>
      </c>
      <c r="Y142" t="s">
        <v>25</v>
      </c>
      <c r="AH142" s="20">
        <v>122</v>
      </c>
      <c r="AI142" s="115" t="s">
        <v>959</v>
      </c>
      <c r="AJ142" s="115">
        <v>30000</v>
      </c>
      <c r="AK142" s="20">
        <v>3</v>
      </c>
      <c r="AL142" s="20">
        <f t="shared" si="65"/>
        <v>563</v>
      </c>
      <c r="AM142" s="115">
        <f t="shared" si="62"/>
        <v>16890000</v>
      </c>
      <c r="AN142" s="20"/>
    </row>
    <row r="143" spans="7:43">
      <c r="G143" s="1">
        <f>P45</f>
        <v>1533</v>
      </c>
      <c r="H143" s="210" t="s">
        <v>4221</v>
      </c>
      <c r="I143" s="210">
        <v>33318</v>
      </c>
      <c r="J143" s="1">
        <f>G143*I143</f>
        <v>51076494</v>
      </c>
      <c r="K143" s="94"/>
      <c r="L143" s="94" t="s">
        <v>25</v>
      </c>
      <c r="M143" s="94"/>
      <c r="N143" s="94"/>
      <c r="O143" s="94"/>
      <c r="Q143" s="94"/>
      <c r="R143" s="94"/>
      <c r="S143" s="94" t="s">
        <v>25</v>
      </c>
      <c r="T143" s="120">
        <f>V144-V151</f>
        <v>2337207</v>
      </c>
      <c r="U143" s="317" t="s">
        <v>744</v>
      </c>
      <c r="V143" s="317">
        <v>1512197</v>
      </c>
      <c r="W143" s="88">
        <f>V143*$T$419</f>
        <v>3710863370.9463019</v>
      </c>
      <c r="Y143" t="s">
        <v>25</v>
      </c>
      <c r="AH143" s="20">
        <v>123</v>
      </c>
      <c r="AI143" s="115" t="s">
        <v>4750</v>
      </c>
      <c r="AJ143" s="115">
        <v>600000</v>
      </c>
      <c r="AK143" s="20">
        <v>1</v>
      </c>
      <c r="AL143" s="20">
        <f t="shared" si="65"/>
        <v>560</v>
      </c>
      <c r="AM143" s="115">
        <f t="shared" si="62"/>
        <v>336000000</v>
      </c>
      <c r="AN143" s="20"/>
    </row>
    <row r="144" spans="7:43">
      <c r="G144" s="1">
        <f>P44</f>
        <v>17117</v>
      </c>
      <c r="H144" s="210" t="s">
        <v>4363</v>
      </c>
      <c r="I144" s="210">
        <v>16447</v>
      </c>
      <c r="J144" s="1">
        <f>G144*I144</f>
        <v>281523299</v>
      </c>
      <c r="K144" s="94">
        <f>I144+2831</f>
        <v>19278</v>
      </c>
      <c r="L144" s="94"/>
      <c r="M144" s="94"/>
      <c r="N144" s="94"/>
      <c r="O144" s="94"/>
      <c r="T144" s="120"/>
      <c r="U144" s="317" t="s">
        <v>4412</v>
      </c>
      <c r="V144" s="317">
        <v>2337207</v>
      </c>
      <c r="W144" s="88">
        <f>V144*$T$419</f>
        <v>5735400775.5730858</v>
      </c>
      <c r="X144" s="94" t="s">
        <v>25</v>
      </c>
      <c r="Y144" t="s">
        <v>25</v>
      </c>
      <c r="Z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s="94"/>
      <c r="U145" s="317" t="s">
        <v>4411</v>
      </c>
      <c r="V145" s="317">
        <v>51866</v>
      </c>
      <c r="W145" s="88">
        <f>V145*$T$419</f>
        <v>127276829.406156</v>
      </c>
      <c r="X145" s="214"/>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182599793</v>
      </c>
      <c r="J146" s="1">
        <f>SUM(J143:J144)</f>
        <v>332599793</v>
      </c>
      <c r="K146" s="94"/>
      <c r="L146" s="94"/>
      <c r="M146" s="94"/>
      <c r="N146" s="94"/>
      <c r="O146" s="94"/>
      <c r="Q146" t="s">
        <v>25</v>
      </c>
      <c r="R146" t="s">
        <v>25</v>
      </c>
      <c r="S146" t="s">
        <v>25</v>
      </c>
      <c r="T146" s="94"/>
      <c r="U146" s="317" t="s">
        <v>1071</v>
      </c>
      <c r="V146" s="317">
        <v>116856</v>
      </c>
      <c r="W146" s="88">
        <f>V146*$T$419</f>
        <v>286759364.07445657</v>
      </c>
      <c r="X146" s="113"/>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S147" t="s">
        <v>25</v>
      </c>
      <c r="T147" s="94"/>
      <c r="U147" s="317"/>
      <c r="V147" s="317"/>
      <c r="W147" s="317"/>
      <c r="X147" s="113"/>
      <c r="Y147" t="s">
        <v>25</v>
      </c>
      <c r="AH147" s="20">
        <v>127</v>
      </c>
      <c r="AI147" s="115" t="s">
        <v>4773</v>
      </c>
      <c r="AJ147" s="115">
        <v>70000</v>
      </c>
      <c r="AK147" s="20">
        <v>9</v>
      </c>
      <c r="AL147" s="20">
        <f t="shared" si="65"/>
        <v>554</v>
      </c>
      <c r="AM147" s="115">
        <f>AJ147*AL147</f>
        <v>38780000</v>
      </c>
      <c r="AN147" s="20"/>
    </row>
    <row r="148" spans="5:44">
      <c r="P148" s="112"/>
      <c r="Q148" t="s">
        <v>25</v>
      </c>
      <c r="S148" t="s">
        <v>25</v>
      </c>
      <c r="T148" s="94" t="s">
        <v>25</v>
      </c>
      <c r="U148" s="87"/>
      <c r="V148" s="87"/>
      <c r="W148" s="87"/>
      <c r="X148" s="112"/>
      <c r="Y148" t="s">
        <v>25</v>
      </c>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s="94" t="s">
        <v>25</v>
      </c>
      <c r="R149" s="94"/>
      <c r="S149" s="94" t="s">
        <v>25</v>
      </c>
      <c r="T149" s="94" t="s">
        <v>25</v>
      </c>
      <c r="U149" s="87"/>
      <c r="V149" s="87"/>
      <c r="W149" s="87"/>
      <c r="X149" s="94"/>
      <c r="AH149" s="97">
        <v>129</v>
      </c>
      <c r="AI149" s="111" t="s">
        <v>4800</v>
      </c>
      <c r="AJ149" s="111">
        <v>1000000</v>
      </c>
      <c r="AK149" s="97">
        <v>1</v>
      </c>
      <c r="AL149" s="20">
        <f t="shared" si="65"/>
        <v>535</v>
      </c>
      <c r="AM149" s="115">
        <f>AJ149*AL149</f>
        <v>535000000</v>
      </c>
      <c r="AN149" s="20"/>
    </row>
    <row r="150" spans="5:44">
      <c r="E150" s="121"/>
      <c r="Q150" s="94"/>
      <c r="R150" s="94"/>
      <c r="S150" s="94"/>
      <c r="T150" s="94" t="s">
        <v>25</v>
      </c>
      <c r="U150" s="87"/>
      <c r="V150" s="87">
        <f>SUM(V143:V146)</f>
        <v>4018126</v>
      </c>
      <c r="W150" s="87"/>
      <c r="X150" s="94"/>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4" t="s">
        <v>25</v>
      </c>
      <c r="U151" s="87"/>
      <c r="V151" s="87">
        <f>V150-U416</f>
        <v>0</v>
      </c>
      <c r="W151" s="87"/>
      <c r="X151" s="94"/>
      <c r="AC151" s="112"/>
      <c r="AH151" s="97">
        <v>131</v>
      </c>
      <c r="AI151" s="111" t="s">
        <v>4801</v>
      </c>
      <c r="AJ151" s="111">
        <v>-3500000</v>
      </c>
      <c r="AK151" s="97">
        <v>6</v>
      </c>
      <c r="AL151" s="20">
        <f t="shared" si="65"/>
        <v>534</v>
      </c>
      <c r="AM151" s="115">
        <f t="shared" si="66"/>
        <v>-1869000000</v>
      </c>
      <c r="AN151" s="20" t="s">
        <v>4803</v>
      </c>
    </row>
    <row r="152" spans="5:44">
      <c r="G152" s="97">
        <f>P45</f>
        <v>1533</v>
      </c>
      <c r="H152" s="97" t="s">
        <v>4221</v>
      </c>
      <c r="I152" s="97">
        <v>20174</v>
      </c>
      <c r="J152" s="1">
        <f>G152*I152</f>
        <v>30926742</v>
      </c>
      <c r="Q152" s="94" t="s">
        <v>25</v>
      </c>
      <c r="R152" s="94"/>
      <c r="S152" s="94"/>
      <c r="T152" s="94"/>
      <c r="U152" s="87"/>
      <c r="V152" s="87" t="s">
        <v>4948</v>
      </c>
      <c r="W152" s="140">
        <f>W143-R160</f>
        <v>261363008.94630194</v>
      </c>
      <c r="X152" s="94"/>
      <c r="Y152" t="s">
        <v>25</v>
      </c>
      <c r="AC152" s="112"/>
      <c r="AD152" s="112"/>
      <c r="AH152" s="97">
        <v>132</v>
      </c>
      <c r="AI152" s="111" t="s">
        <v>4813</v>
      </c>
      <c r="AJ152" s="111">
        <v>2520000</v>
      </c>
      <c r="AK152" s="97">
        <v>12</v>
      </c>
      <c r="AL152" s="20">
        <f t="shared" si="65"/>
        <v>528</v>
      </c>
      <c r="AM152" s="115">
        <f t="shared" si="66"/>
        <v>1330560000</v>
      </c>
      <c r="AN152" s="20"/>
    </row>
    <row r="153" spans="5:44">
      <c r="G153" s="97">
        <f>P44</f>
        <v>17117</v>
      </c>
      <c r="H153" s="97" t="s">
        <v>4363</v>
      </c>
      <c r="I153" s="97">
        <v>1150</v>
      </c>
      <c r="J153" s="1">
        <f>G153*I153</f>
        <v>19684550</v>
      </c>
      <c r="N153" s="94"/>
      <c r="O153" s="94"/>
      <c r="P153" s="112"/>
      <c r="Q153" s="94"/>
      <c r="R153" s="94"/>
      <c r="S153" s="94"/>
      <c r="T153" s="94"/>
      <c r="U153" s="87"/>
      <c r="V153" s="87" t="s">
        <v>4949</v>
      </c>
      <c r="W153" s="140">
        <f>W146+W145-R161</f>
        <v>88151526.480612576</v>
      </c>
      <c r="X153" s="113"/>
      <c r="Y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c r="V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t="s">
        <v>25</v>
      </c>
      <c r="V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30611292</v>
      </c>
      <c r="J156" s="1"/>
      <c r="K156" t="s">
        <v>25</v>
      </c>
      <c r="N156" s="94"/>
      <c r="O156" s="94"/>
      <c r="P156" s="112"/>
      <c r="S156" s="94"/>
      <c r="T156" s="94"/>
      <c r="V156" s="94"/>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7" t="s">
        <v>180</v>
      </c>
      <c r="U157" s="97" t="s">
        <v>4439</v>
      </c>
      <c r="V157" s="97" t="s">
        <v>4440</v>
      </c>
      <c r="W157" s="97" t="s">
        <v>4450</v>
      </c>
      <c r="X157" s="97" t="s">
        <v>8</v>
      </c>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111" t="s">
        <v>4422</v>
      </c>
      <c r="U158" s="54">
        <v>1000000</v>
      </c>
      <c r="V158" s="111">
        <v>239.024</v>
      </c>
      <c r="W158" s="111">
        <f t="shared" ref="W158:W259" si="67">U158*V158</f>
        <v>239024000</v>
      </c>
      <c r="X158" s="97"/>
      <c r="AH158" s="97">
        <v>138</v>
      </c>
      <c r="AI158" s="111" t="s">
        <v>4905</v>
      </c>
      <c r="AJ158" s="111">
        <v>100000</v>
      </c>
      <c r="AK158" s="97">
        <v>4</v>
      </c>
      <c r="AL158" s="20">
        <f>AL159+AK158</f>
        <v>489</v>
      </c>
      <c r="AM158" s="115">
        <f t="shared" si="66"/>
        <v>48900000</v>
      </c>
      <c r="AN158" s="20"/>
    </row>
    <row r="159" spans="5:44">
      <c r="J159" s="112"/>
      <c r="N159" s="94"/>
      <c r="O159" s="94"/>
      <c r="P159" s="112"/>
      <c r="Q159" s="36" t="s">
        <v>4522</v>
      </c>
      <c r="R159" s="93">
        <f>SUM(N41:N47)</f>
        <v>6075881505</v>
      </c>
      <c r="T159" s="166" t="s">
        <v>4404</v>
      </c>
      <c r="U159" s="54">
        <v>5904</v>
      </c>
      <c r="V159" s="111">
        <v>237.148</v>
      </c>
      <c r="W159" s="111">
        <f t="shared" si="67"/>
        <v>1400121.7919999999</v>
      </c>
      <c r="X159" s="97" t="s">
        <v>744</v>
      </c>
      <c r="Z159" t="s">
        <v>25</v>
      </c>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97" t="s">
        <v>4413</v>
      </c>
      <c r="R160" s="93">
        <f>SUM(N21:N23)</f>
        <v>3449500362</v>
      </c>
      <c r="T160" s="166" t="s">
        <v>4210</v>
      </c>
      <c r="U160" s="166">
        <v>1000</v>
      </c>
      <c r="V160" s="111">
        <v>247.393</v>
      </c>
      <c r="W160" s="111">
        <f t="shared" si="67"/>
        <v>247393</v>
      </c>
      <c r="X160" s="97" t="s">
        <v>744</v>
      </c>
      <c r="Y160" t="s">
        <v>25</v>
      </c>
      <c r="AH160" s="97">
        <v>140</v>
      </c>
      <c r="AI160" s="111" t="s">
        <v>4910</v>
      </c>
      <c r="AJ160" s="111">
        <v>1100000</v>
      </c>
      <c r="AK160" s="97">
        <v>0</v>
      </c>
      <c r="AL160" s="20">
        <f t="shared" si="68"/>
        <v>485</v>
      </c>
      <c r="AM160" s="115">
        <f t="shared" si="69"/>
        <v>533500000</v>
      </c>
      <c r="AN160" s="20" t="s">
        <v>4924</v>
      </c>
      <c r="AQ160" t="s">
        <v>25</v>
      </c>
    </row>
    <row r="161" spans="7:43">
      <c r="P161" s="112"/>
      <c r="Q161" s="97" t="s">
        <v>4414</v>
      </c>
      <c r="R161" s="93">
        <f>SUM(N26:N28)</f>
        <v>325884667</v>
      </c>
      <c r="T161" s="166" t="s">
        <v>4451</v>
      </c>
      <c r="U161" s="166">
        <v>8071</v>
      </c>
      <c r="V161" s="111">
        <v>247.797</v>
      </c>
      <c r="W161" s="111">
        <f t="shared" si="67"/>
        <v>1999969.5870000001</v>
      </c>
      <c r="X161" s="97" t="s">
        <v>4411</v>
      </c>
      <c r="Y161" t="s">
        <v>25</v>
      </c>
      <c r="AA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4415</v>
      </c>
      <c r="R162" s="93">
        <f>N39</f>
        <v>303</v>
      </c>
      <c r="T162" s="166" t="s">
        <v>4451</v>
      </c>
      <c r="U162" s="166">
        <v>53672</v>
      </c>
      <c r="V162" s="111">
        <v>247.797</v>
      </c>
      <c r="W162" s="111">
        <f t="shared" si="67"/>
        <v>13299760.584000001</v>
      </c>
      <c r="X162" s="97" t="s">
        <v>452</v>
      </c>
      <c r="Y162" t="s">
        <v>25</v>
      </c>
      <c r="AH162" s="97">
        <v>142</v>
      </c>
      <c r="AI162" s="111" t="s">
        <v>4918</v>
      </c>
      <c r="AJ162" s="111">
        <v>-1100000</v>
      </c>
      <c r="AK162" s="97"/>
      <c r="AL162" s="20">
        <f t="shared" si="68"/>
        <v>485</v>
      </c>
      <c r="AM162" s="115">
        <f t="shared" si="69"/>
        <v>-533500000</v>
      </c>
      <c r="AN162" s="20" t="s">
        <v>4925</v>
      </c>
      <c r="AQ162" t="s">
        <v>25</v>
      </c>
    </row>
    <row r="163" spans="7:43">
      <c r="O163" s="112"/>
      <c r="P163" s="112"/>
      <c r="Q163" s="97" t="s">
        <v>4416</v>
      </c>
      <c r="R163" s="93">
        <f>N20</f>
        <v>2595</v>
      </c>
      <c r="T163" s="166" t="s">
        <v>4459</v>
      </c>
      <c r="U163" s="166">
        <v>4099</v>
      </c>
      <c r="V163" s="111">
        <v>243.93</v>
      </c>
      <c r="W163" s="111">
        <f t="shared" si="67"/>
        <v>999869.07000000007</v>
      </c>
      <c r="X163" s="97" t="s">
        <v>4411</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4417</v>
      </c>
      <c r="R164" s="93">
        <f>N25</f>
        <v>32509</v>
      </c>
      <c r="T164" s="166" t="s">
        <v>4459</v>
      </c>
      <c r="U164" s="166">
        <v>9301</v>
      </c>
      <c r="V164" s="111">
        <v>243.93</v>
      </c>
      <c r="W164" s="111">
        <f t="shared" si="67"/>
        <v>2268792.9300000002</v>
      </c>
      <c r="X164" s="97" t="s">
        <v>452</v>
      </c>
      <c r="Z164" t="s">
        <v>25</v>
      </c>
      <c r="AH164" s="97">
        <v>144</v>
      </c>
      <c r="AI164" s="111" t="s">
        <v>4922</v>
      </c>
      <c r="AJ164" s="111">
        <v>2000000</v>
      </c>
      <c r="AK164" s="97">
        <v>0</v>
      </c>
      <c r="AL164" s="20">
        <f t="shared" si="68"/>
        <v>484</v>
      </c>
      <c r="AM164" s="115">
        <f t="shared" si="69"/>
        <v>968000000</v>
      </c>
      <c r="AN164" s="20"/>
    </row>
    <row r="165" spans="7:43">
      <c r="G165" s="32">
        <f>O21+O28+O45+I143</f>
        <v>4222930</v>
      </c>
      <c r="H165" s="32" t="s">
        <v>5521</v>
      </c>
      <c r="I165" s="32">
        <f>O22+O26+O44+I144+O41</f>
        <v>135351</v>
      </c>
      <c r="J165" s="112"/>
      <c r="K165" s="112"/>
      <c r="L165" s="94"/>
      <c r="P165" s="112"/>
      <c r="Q165" s="97" t="s">
        <v>5757</v>
      </c>
      <c r="R165" s="93">
        <v>9000000</v>
      </c>
      <c r="S165" t="s">
        <v>25</v>
      </c>
      <c r="T165" s="166" t="s">
        <v>4464</v>
      </c>
      <c r="U165" s="166">
        <v>8334</v>
      </c>
      <c r="V165" s="111">
        <v>239.97</v>
      </c>
      <c r="W165" s="111">
        <f t="shared" si="67"/>
        <v>1999909.98</v>
      </c>
      <c r="X165" s="97" t="s">
        <v>4411</v>
      </c>
      <c r="AH165" s="97">
        <v>145</v>
      </c>
      <c r="AI165" s="111" t="s">
        <v>4922</v>
      </c>
      <c r="AJ165" s="111">
        <v>360000</v>
      </c>
      <c r="AK165" s="97">
        <v>1</v>
      </c>
      <c r="AL165" s="20">
        <f t="shared" si="68"/>
        <v>484</v>
      </c>
      <c r="AM165" s="115">
        <f t="shared" si="69"/>
        <v>174240000</v>
      </c>
      <c r="AN165" s="20"/>
    </row>
    <row r="166" spans="7:43">
      <c r="G166" s="32">
        <f>(J144+N27+N22+N23+N26+N43+N44+N41)/P45</f>
        <v>2420166.1037181998</v>
      </c>
      <c r="H166" s="294" t="s">
        <v>5522</v>
      </c>
      <c r="I166" s="32">
        <f>(J143+N27+N45+N43+N28+N23+N21)/P44</f>
        <v>459605.2614359993</v>
      </c>
      <c r="J166" s="112"/>
      <c r="K166" s="94"/>
      <c r="L166" s="94"/>
      <c r="O166" s="112"/>
      <c r="P166" s="112"/>
      <c r="Q166" s="97" t="s">
        <v>5082</v>
      </c>
      <c r="R166" s="93">
        <v>0</v>
      </c>
      <c r="T166" s="166" t="s">
        <v>4209</v>
      </c>
      <c r="U166" s="166">
        <v>29041</v>
      </c>
      <c r="V166" s="111">
        <v>233.45</v>
      </c>
      <c r="W166" s="111">
        <f t="shared" si="67"/>
        <v>6779621.4499999993</v>
      </c>
      <c r="X166" s="97" t="s">
        <v>744</v>
      </c>
      <c r="Y166" s="120" t="s">
        <v>25</v>
      </c>
      <c r="AH166" s="97">
        <v>146</v>
      </c>
      <c r="AI166" s="111" t="s">
        <v>4923</v>
      </c>
      <c r="AJ166" s="111">
        <v>3000000</v>
      </c>
      <c r="AK166" s="97">
        <v>1</v>
      </c>
      <c r="AL166" s="20">
        <f t="shared" si="68"/>
        <v>483</v>
      </c>
      <c r="AM166" s="115">
        <f t="shared" si="69"/>
        <v>1449000000</v>
      </c>
      <c r="AN166" s="20"/>
    </row>
    <row r="167" spans="7:43">
      <c r="G167" s="32">
        <f>G165+G166</f>
        <v>6643096.1037181998</v>
      </c>
      <c r="H167" s="32" t="s">
        <v>5523</v>
      </c>
      <c r="I167" s="32">
        <f>I165+I166</f>
        <v>594956.2614359993</v>
      </c>
      <c r="J167" s="112"/>
      <c r="K167" s="94"/>
      <c r="L167" s="94"/>
      <c r="O167" s="112"/>
      <c r="P167" s="112"/>
      <c r="Q167" s="97" t="s">
        <v>5685</v>
      </c>
      <c r="R167" s="93">
        <v>-1601</v>
      </c>
      <c r="S167" s="94"/>
      <c r="T167" s="166" t="s">
        <v>979</v>
      </c>
      <c r="U167" s="166">
        <v>12337</v>
      </c>
      <c r="V167" s="111">
        <v>243.16300000000001</v>
      </c>
      <c r="W167" s="111">
        <f t="shared" si="67"/>
        <v>2999901.9310000003</v>
      </c>
      <c r="X167" s="97" t="s">
        <v>4411</v>
      </c>
      <c r="AH167" s="97">
        <v>147</v>
      </c>
      <c r="AI167" s="111" t="s">
        <v>4921</v>
      </c>
      <c r="AJ167" s="111">
        <v>-658226</v>
      </c>
      <c r="AK167" s="97">
        <v>1</v>
      </c>
      <c r="AL167" s="20">
        <f t="shared" si="68"/>
        <v>482</v>
      </c>
      <c r="AM167" s="115">
        <f t="shared" si="69"/>
        <v>-317264932</v>
      </c>
      <c r="AN167" s="20"/>
    </row>
    <row r="168" spans="7:43">
      <c r="G168" s="32">
        <f>(W145+W146)/P45</f>
        <v>270082.31799126719</v>
      </c>
      <c r="H168" s="32" t="s">
        <v>5498</v>
      </c>
      <c r="I168" s="32">
        <f>(W145+W146)/P44</f>
        <v>24188.59575162777</v>
      </c>
      <c r="J168" s="112"/>
      <c r="K168" s="94"/>
      <c r="L168" s="94"/>
      <c r="P168" s="112"/>
      <c r="Q168" s="97"/>
      <c r="R168" s="93">
        <v>0</v>
      </c>
      <c r="S168" s="94"/>
      <c r="T168" s="166" t="s">
        <v>4540</v>
      </c>
      <c r="U168" s="166">
        <v>-16118</v>
      </c>
      <c r="V168" s="111">
        <v>248.17</v>
      </c>
      <c r="W168" s="111">
        <f t="shared" si="67"/>
        <v>-4000004.0599999996</v>
      </c>
      <c r="X168" s="97" t="s">
        <v>744</v>
      </c>
      <c r="Y168" t="s">
        <v>25</v>
      </c>
      <c r="AH168" s="97">
        <v>148</v>
      </c>
      <c r="AI168" s="111" t="s">
        <v>4926</v>
      </c>
      <c r="AJ168" s="111">
        <v>1000000</v>
      </c>
      <c r="AK168" s="97">
        <v>15</v>
      </c>
      <c r="AL168" s="20">
        <f t="shared" si="68"/>
        <v>481</v>
      </c>
      <c r="AM168" s="115">
        <f t="shared" si="69"/>
        <v>481000000</v>
      </c>
      <c r="AN168" s="20"/>
      <c r="AP168" t="s">
        <v>25</v>
      </c>
    </row>
    <row r="169" spans="7:43">
      <c r="G169" s="32">
        <f>W143/P45</f>
        <v>2420654.5146420756</v>
      </c>
      <c r="H169" s="32" t="s">
        <v>481</v>
      </c>
      <c r="I169" s="32">
        <f>W143/P44</f>
        <v>216794.02763020984</v>
      </c>
      <c r="J169" s="112"/>
      <c r="K169" s="94"/>
      <c r="L169" s="94"/>
      <c r="P169" s="112"/>
      <c r="Q169" s="97"/>
      <c r="R169" s="93"/>
      <c r="T169" s="166" t="s">
        <v>4562</v>
      </c>
      <c r="U169" s="166">
        <v>101681</v>
      </c>
      <c r="V169" s="111">
        <v>246.5711</v>
      </c>
      <c r="W169" s="111">
        <f t="shared" si="67"/>
        <v>25071596.019099999</v>
      </c>
      <c r="X169" s="97" t="s">
        <v>452</v>
      </c>
      <c r="AH169" s="97">
        <v>149</v>
      </c>
      <c r="AI169" s="111" t="s">
        <v>4954</v>
      </c>
      <c r="AJ169" s="111">
        <v>1130250</v>
      </c>
      <c r="AK169" s="97">
        <v>5</v>
      </c>
      <c r="AL169" s="20">
        <f t="shared" si="65"/>
        <v>466</v>
      </c>
      <c r="AM169" s="115">
        <f t="shared" si="66"/>
        <v>526696500</v>
      </c>
      <c r="AN169" s="20"/>
    </row>
    <row r="170" spans="7:43">
      <c r="G170" s="32">
        <f>G167-G168-G169</f>
        <v>3952359.2710848572</v>
      </c>
      <c r="H170" s="32" t="s">
        <v>5</v>
      </c>
      <c r="I170" s="32">
        <f>I167-I168-I169</f>
        <v>353973.63805416168</v>
      </c>
      <c r="J170" s="112"/>
      <c r="K170" s="94"/>
      <c r="L170" s="94"/>
      <c r="M170" t="s">
        <v>25</v>
      </c>
      <c r="P170" s="112"/>
      <c r="Q170" s="97"/>
      <c r="R170" s="93"/>
      <c r="S170" s="94"/>
      <c r="T170" s="166" t="s">
        <v>4566</v>
      </c>
      <c r="U170" s="166">
        <v>66606</v>
      </c>
      <c r="V170" s="111">
        <v>251.131</v>
      </c>
      <c r="W170" s="111">
        <f t="shared" si="67"/>
        <v>16726831.386</v>
      </c>
      <c r="X170" s="97" t="s">
        <v>744</v>
      </c>
      <c r="AE170" s="94" t="s">
        <v>25</v>
      </c>
      <c r="AH170" s="97">
        <v>150</v>
      </c>
      <c r="AI170" s="111" t="s">
        <v>4962</v>
      </c>
      <c r="AJ170" s="111">
        <v>206000</v>
      </c>
      <c r="AK170" s="97">
        <v>2</v>
      </c>
      <c r="AL170" s="20">
        <f t="shared" si="65"/>
        <v>461</v>
      </c>
      <c r="AM170" s="115">
        <f t="shared" si="66"/>
        <v>94966000</v>
      </c>
      <c r="AN170" s="20"/>
    </row>
    <row r="171" spans="7:43">
      <c r="P171" s="112"/>
      <c r="Q171" s="97" t="s">
        <v>5083</v>
      </c>
      <c r="R171" s="93">
        <v>0</v>
      </c>
      <c r="S171" s="113" t="s">
        <v>25</v>
      </c>
      <c r="T171" s="166" t="s">
        <v>4571</v>
      </c>
      <c r="U171" s="166">
        <v>172025</v>
      </c>
      <c r="V171" s="111">
        <v>245.52809999999999</v>
      </c>
      <c r="W171" s="111">
        <f t="shared" si="67"/>
        <v>42236971.402499996</v>
      </c>
      <c r="X171" s="97" t="s">
        <v>452</v>
      </c>
      <c r="AH171" s="97">
        <v>151</v>
      </c>
      <c r="AI171" s="111" t="s">
        <v>4969</v>
      </c>
      <c r="AJ171" s="111">
        <v>50000</v>
      </c>
      <c r="AK171" s="97">
        <v>2</v>
      </c>
      <c r="AL171" s="20">
        <f t="shared" si="65"/>
        <v>459</v>
      </c>
      <c r="AM171" s="115">
        <f t="shared" si="66"/>
        <v>22950000</v>
      </c>
      <c r="AN171" s="20"/>
    </row>
    <row r="172" spans="7:43">
      <c r="P172" s="112"/>
      <c r="Q172" s="97"/>
      <c r="R172" s="93"/>
      <c r="S172" s="120" t="s">
        <v>25</v>
      </c>
      <c r="T172" s="166" t="s">
        <v>4571</v>
      </c>
      <c r="U172" s="166">
        <v>189227</v>
      </c>
      <c r="V172" s="111">
        <v>245.52809999999999</v>
      </c>
      <c r="W172" s="111">
        <f t="shared" si="67"/>
        <v>46460545.778700002</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c r="R173" s="93"/>
      <c r="S173" s="113"/>
      <c r="T173" s="166" t="s">
        <v>4572</v>
      </c>
      <c r="U173" s="166">
        <v>79720</v>
      </c>
      <c r="V173" s="111">
        <v>246.6568</v>
      </c>
      <c r="W173" s="111">
        <f t="shared" si="67"/>
        <v>19663480.096000001</v>
      </c>
      <c r="X173" s="97" t="s">
        <v>452</v>
      </c>
      <c r="Y173" s="8" t="s">
        <v>25</v>
      </c>
      <c r="Z173" t="s">
        <v>25</v>
      </c>
      <c r="AH173" s="97">
        <v>153</v>
      </c>
      <c r="AI173" s="111" t="s">
        <v>4977</v>
      </c>
      <c r="AJ173" s="111">
        <v>5000000</v>
      </c>
      <c r="AK173" s="97">
        <v>1</v>
      </c>
      <c r="AL173" s="20">
        <f t="shared" si="65"/>
        <v>453</v>
      </c>
      <c r="AM173" s="115">
        <f t="shared" si="66"/>
        <v>2265000000</v>
      </c>
      <c r="AN173" s="20"/>
    </row>
    <row r="174" spans="7:43">
      <c r="P174" s="112"/>
      <c r="Q174" s="97"/>
      <c r="R174" s="93"/>
      <c r="S174" s="113"/>
      <c r="T174" s="166" t="s">
        <v>4572</v>
      </c>
      <c r="U174" s="166">
        <v>79720</v>
      </c>
      <c r="V174" s="111">
        <v>246.6568</v>
      </c>
      <c r="W174" s="111">
        <f t="shared" si="67"/>
        <v>19663480.096000001</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t="s">
        <v>4421</v>
      </c>
      <c r="R175" s="93">
        <f>SUM(R159:R174)</f>
        <v>9860300340</v>
      </c>
      <c r="T175" s="166" t="s">
        <v>4595</v>
      </c>
      <c r="U175" s="166">
        <v>17769</v>
      </c>
      <c r="V175" s="111">
        <v>246.17877999999999</v>
      </c>
      <c r="W175" s="111">
        <f t="shared" si="67"/>
        <v>4374350.7418200001</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4"/>
      <c r="T176" s="166" t="s">
        <v>4595</v>
      </c>
      <c r="U176" s="166">
        <v>17769</v>
      </c>
      <c r="V176" s="111">
        <v>246.17877999999999</v>
      </c>
      <c r="W176" s="111">
        <f t="shared" si="67"/>
        <v>4374350.7418200001</v>
      </c>
      <c r="X176" s="97" t="s">
        <v>452</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T177" s="166" t="s">
        <v>4597</v>
      </c>
      <c r="U177" s="166">
        <v>12438</v>
      </c>
      <c r="V177" s="111">
        <v>241.20465999999999</v>
      </c>
      <c r="W177" s="111">
        <f t="shared" si="67"/>
        <v>3000103.5610799999</v>
      </c>
      <c r="X177" s="97" t="s">
        <v>4411</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210" t="s">
        <v>8</v>
      </c>
      <c r="R178" s="210" t="s">
        <v>4411</v>
      </c>
      <c r="S178" s="210"/>
      <c r="T178" s="166" t="s">
        <v>4606</v>
      </c>
      <c r="U178" s="166">
        <v>27363</v>
      </c>
      <c r="V178" s="111">
        <v>239.3886</v>
      </c>
      <c r="W178" s="111">
        <f t="shared" si="67"/>
        <v>6550390.2617999995</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c r="R179" s="71" t="s">
        <v>180</v>
      </c>
      <c r="S179" s="210" t="s">
        <v>267</v>
      </c>
      <c r="T179" s="166" t="s">
        <v>4606</v>
      </c>
      <c r="U179" s="166">
        <v>27363</v>
      </c>
      <c r="V179" s="111">
        <v>239.3886</v>
      </c>
      <c r="W179" s="111">
        <f t="shared" si="67"/>
        <v>6550390.2617999995</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210" t="s">
        <v>4404</v>
      </c>
      <c r="S180" s="111">
        <v>3000000</v>
      </c>
      <c r="T180" s="207" t="s">
        <v>4608</v>
      </c>
      <c r="U180" s="207">
        <v>27437</v>
      </c>
      <c r="V180" s="111">
        <v>242.4015</v>
      </c>
      <c r="W180" s="111">
        <f t="shared" si="67"/>
        <v>6650769.9555000002</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4451</v>
      </c>
      <c r="S181" s="111">
        <v>2000000</v>
      </c>
      <c r="T181" s="207" t="s">
        <v>4608</v>
      </c>
      <c r="U181" s="207">
        <v>29104</v>
      </c>
      <c r="V181" s="111">
        <v>242.4015</v>
      </c>
      <c r="W181" s="111">
        <f t="shared" si="67"/>
        <v>7054853.2560000001</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4459</v>
      </c>
      <c r="S182" s="111">
        <v>1000000</v>
      </c>
      <c r="T182" s="210" t="s">
        <v>4625</v>
      </c>
      <c r="U182" s="210">
        <v>8991</v>
      </c>
      <c r="V182" s="111">
        <v>238.64867000000001</v>
      </c>
      <c r="W182" s="111">
        <f t="shared" si="67"/>
        <v>2145690.19197</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4464</v>
      </c>
      <c r="S183" s="111">
        <v>2000000</v>
      </c>
      <c r="T183" s="210" t="s">
        <v>4625</v>
      </c>
      <c r="U183" s="210">
        <v>8991</v>
      </c>
      <c r="V183" s="111">
        <v>238.64867000000001</v>
      </c>
      <c r="W183" s="111">
        <f t="shared" si="67"/>
        <v>2145690.19197</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979</v>
      </c>
      <c r="S184" s="111">
        <v>3000000</v>
      </c>
      <c r="T184" s="210" t="s">
        <v>4636</v>
      </c>
      <c r="U184" s="210">
        <v>18170</v>
      </c>
      <c r="V184" s="111">
        <v>240.48475999999999</v>
      </c>
      <c r="W184" s="111">
        <f t="shared" si="67"/>
        <v>4369608.0892000003</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4597</v>
      </c>
      <c r="S185" s="111">
        <v>3000000</v>
      </c>
      <c r="T185" s="210" t="s">
        <v>4636</v>
      </c>
      <c r="U185" s="210">
        <v>18170</v>
      </c>
      <c r="V185" s="111">
        <v>240.48475999999999</v>
      </c>
      <c r="W185" s="111">
        <f t="shared" si="67"/>
        <v>4369608.0892000003</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t="s">
        <v>4769</v>
      </c>
      <c r="R186" s="210" t="s">
        <v>4764</v>
      </c>
      <c r="S186" s="111">
        <v>-800000</v>
      </c>
      <c r="T186" s="210" t="s">
        <v>4638</v>
      </c>
      <c r="U186" s="210">
        <v>36797</v>
      </c>
      <c r="V186" s="111">
        <v>239.0822</v>
      </c>
      <c r="W186" s="111">
        <f t="shared" si="67"/>
        <v>8797507.7134000007</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t="s">
        <v>4770</v>
      </c>
      <c r="R187" s="210" t="s">
        <v>4764</v>
      </c>
      <c r="S187" s="111">
        <v>-900000</v>
      </c>
      <c r="T187" s="210" t="s">
        <v>4638</v>
      </c>
      <c r="U187" s="210">
        <v>36797</v>
      </c>
      <c r="V187" s="111">
        <v>239.0822</v>
      </c>
      <c r="W187" s="111">
        <f t="shared" si="67"/>
        <v>8797507.7134000007</v>
      </c>
      <c r="X187" s="97" t="s">
        <v>452</v>
      </c>
      <c r="Z187" t="s">
        <v>25</v>
      </c>
      <c r="AH187" s="97">
        <v>167</v>
      </c>
      <c r="AI187" s="111" t="s">
        <v>5072</v>
      </c>
      <c r="AJ187" s="111">
        <v>200000</v>
      </c>
      <c r="AK187" s="97">
        <v>3</v>
      </c>
      <c r="AL187" s="20">
        <f t="shared" si="72"/>
        <v>388</v>
      </c>
      <c r="AM187" s="115">
        <f t="shared" si="73"/>
        <v>77600000</v>
      </c>
      <c r="AN187" s="20"/>
    </row>
    <row r="188" spans="5:43">
      <c r="Q188" s="210" t="s">
        <v>4770</v>
      </c>
      <c r="R188" s="210" t="s">
        <v>966</v>
      </c>
      <c r="S188" s="111">
        <v>-1100000</v>
      </c>
      <c r="T188" s="210" t="s">
        <v>4647</v>
      </c>
      <c r="U188" s="210">
        <v>28066</v>
      </c>
      <c r="V188" s="111">
        <v>237.56970000000001</v>
      </c>
      <c r="W188" s="111">
        <f t="shared" si="67"/>
        <v>6667631.2002000008</v>
      </c>
      <c r="X188" s="97" t="s">
        <v>744</v>
      </c>
      <c r="AH188" s="97">
        <v>168</v>
      </c>
      <c r="AI188" s="111" t="s">
        <v>5075</v>
      </c>
      <c r="AJ188" s="111">
        <v>30000</v>
      </c>
      <c r="AK188" s="97">
        <v>7</v>
      </c>
      <c r="AL188" s="20">
        <f t="shared" si="72"/>
        <v>385</v>
      </c>
      <c r="AM188" s="115">
        <f t="shared" si="73"/>
        <v>11550000</v>
      </c>
      <c r="AN188" s="20"/>
    </row>
    <row r="189" spans="5:43">
      <c r="Q189" s="188" t="s">
        <v>1071</v>
      </c>
      <c r="R189" s="188" t="s">
        <v>4793</v>
      </c>
      <c r="S189" s="194">
        <v>30000000</v>
      </c>
      <c r="T189" s="210" t="s">
        <v>4647</v>
      </c>
      <c r="U189" s="210">
        <v>28066</v>
      </c>
      <c r="V189" s="111">
        <v>237.56970000000001</v>
      </c>
      <c r="W189" s="111">
        <f t="shared" si="67"/>
        <v>6667631.2002000008</v>
      </c>
      <c r="X189" s="97" t="s">
        <v>452</v>
      </c>
      <c r="Y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9" t="s">
        <v>4874</v>
      </c>
      <c r="R190" s="19" t="s">
        <v>4872</v>
      </c>
      <c r="S190" s="115">
        <v>2000000</v>
      </c>
      <c r="T190" s="210" t="s">
        <v>3668</v>
      </c>
      <c r="U190" s="210">
        <v>37457</v>
      </c>
      <c r="V190" s="111">
        <v>239.77</v>
      </c>
      <c r="W190" s="111">
        <f t="shared" si="67"/>
        <v>8981064.8900000006</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7" t="s">
        <v>4896</v>
      </c>
      <c r="R191" s="187" t="s">
        <v>4895</v>
      </c>
      <c r="S191" s="186">
        <v>480105</v>
      </c>
      <c r="T191" s="210" t="s">
        <v>3668</v>
      </c>
      <c r="U191" s="210">
        <v>37457</v>
      </c>
      <c r="V191" s="111">
        <v>239.77</v>
      </c>
      <c r="W191" s="111">
        <f t="shared" si="67"/>
        <v>8981064.8900000006</v>
      </c>
      <c r="X191" s="97" t="s">
        <v>452</v>
      </c>
      <c r="Y191" s="94"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c r="R192" s="187" t="s">
        <v>4936</v>
      </c>
      <c r="S192" s="186">
        <v>30500000</v>
      </c>
      <c r="T192" s="210" t="s">
        <v>4659</v>
      </c>
      <c r="U192" s="210">
        <v>38412</v>
      </c>
      <c r="V192" s="111">
        <v>239.03</v>
      </c>
      <c r="W192" s="111">
        <f t="shared" si="67"/>
        <v>9181620.3599999994</v>
      </c>
      <c r="X192" s="97" t="s">
        <v>744</v>
      </c>
      <c r="Y192"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9" t="s">
        <v>4967</v>
      </c>
      <c r="R193" s="19" t="s">
        <v>4962</v>
      </c>
      <c r="S193" s="115">
        <v>-400000</v>
      </c>
      <c r="T193" s="210" t="s">
        <v>4659</v>
      </c>
      <c r="U193" s="210">
        <v>38412</v>
      </c>
      <c r="V193" s="111">
        <v>239.03</v>
      </c>
      <c r="W193" s="111">
        <f t="shared" si="67"/>
        <v>9181620.3599999994</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t="s">
        <v>5078</v>
      </c>
      <c r="R194" s="187" t="s">
        <v>4997</v>
      </c>
      <c r="S194" s="186">
        <v>-349550</v>
      </c>
      <c r="T194" s="210" t="s">
        <v>4662</v>
      </c>
      <c r="U194" s="210">
        <v>49555</v>
      </c>
      <c r="V194" s="111">
        <v>238.345</v>
      </c>
      <c r="W194" s="111">
        <f t="shared" si="67"/>
        <v>11811186.475</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5108</v>
      </c>
      <c r="R195" s="187" t="s">
        <v>5105</v>
      </c>
      <c r="S195" s="186">
        <v>11500000</v>
      </c>
      <c r="T195" s="210" t="s">
        <v>4662</v>
      </c>
      <c r="U195" s="210">
        <v>49555</v>
      </c>
      <c r="V195" s="111">
        <v>238.345</v>
      </c>
      <c r="W195" s="111">
        <f t="shared" si="67"/>
        <v>11811186.475</v>
      </c>
      <c r="X195" s="97" t="s">
        <v>452</v>
      </c>
      <c r="AA195"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5137</v>
      </c>
      <c r="R196" s="187" t="s">
        <v>5136</v>
      </c>
      <c r="S196" s="186">
        <v>6000000</v>
      </c>
      <c r="T196" s="210" t="s">
        <v>4676</v>
      </c>
      <c r="U196" s="210">
        <v>160187</v>
      </c>
      <c r="V196" s="111">
        <v>257.49799999999999</v>
      </c>
      <c r="W196" s="111">
        <f t="shared" si="67"/>
        <v>41247832.126000002</v>
      </c>
      <c r="X196" s="97" t="s">
        <v>744</v>
      </c>
      <c r="Y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5139</v>
      </c>
      <c r="R197" s="187" t="s">
        <v>5138</v>
      </c>
      <c r="S197" s="186">
        <v>1500000</v>
      </c>
      <c r="T197" s="210" t="s">
        <v>4676</v>
      </c>
      <c r="U197" s="210">
        <v>160187</v>
      </c>
      <c r="V197" s="111">
        <v>257.49799999999999</v>
      </c>
      <c r="W197" s="111">
        <f t="shared" si="67"/>
        <v>41247832.126000002</v>
      </c>
      <c r="X197" s="97" t="s">
        <v>452</v>
      </c>
      <c r="AH197" s="97">
        <v>177</v>
      </c>
      <c r="AI197" s="111" t="s">
        <v>5158</v>
      </c>
      <c r="AJ197" s="111">
        <v>230000</v>
      </c>
      <c r="AK197" s="97">
        <v>1</v>
      </c>
      <c r="AL197" s="20">
        <f t="shared" si="74"/>
        <v>354</v>
      </c>
      <c r="AM197" s="115">
        <f t="shared" si="75"/>
        <v>81420000</v>
      </c>
      <c r="AN197" s="20"/>
    </row>
    <row r="198" spans="7:45">
      <c r="G198" s="97"/>
      <c r="H198" s="97"/>
      <c r="I198" s="97"/>
      <c r="P198" s="112"/>
      <c r="Q198" s="19" t="s">
        <v>4967</v>
      </c>
      <c r="R198" s="19" t="s">
        <v>5146</v>
      </c>
      <c r="S198" s="115">
        <v>-200000</v>
      </c>
      <c r="T198" s="210" t="s">
        <v>4683</v>
      </c>
      <c r="U198" s="210">
        <v>144401</v>
      </c>
      <c r="V198" s="111">
        <v>258.5061</v>
      </c>
      <c r="W198" s="111">
        <f t="shared" si="67"/>
        <v>37328539.346100003</v>
      </c>
      <c r="X198" s="97" t="s">
        <v>744</v>
      </c>
      <c r="Z198" t="s">
        <v>25</v>
      </c>
      <c r="AH198" s="97">
        <v>178</v>
      </c>
      <c r="AI198" s="111" t="s">
        <v>5161</v>
      </c>
      <c r="AJ198" s="111">
        <v>880000</v>
      </c>
      <c r="AK198" s="97">
        <v>4</v>
      </c>
      <c r="AL198" s="20">
        <f t="shared" si="74"/>
        <v>353</v>
      </c>
      <c r="AM198" s="115">
        <f t="shared" si="75"/>
        <v>310640000</v>
      </c>
      <c r="AN198" s="20"/>
    </row>
    <row r="199" spans="7:45">
      <c r="P199" s="112"/>
      <c r="Q199" s="188" t="s">
        <v>5166</v>
      </c>
      <c r="R199" s="188" t="s">
        <v>5165</v>
      </c>
      <c r="S199" s="194">
        <v>1000000</v>
      </c>
      <c r="T199" s="210" t="s">
        <v>4683</v>
      </c>
      <c r="U199" s="210">
        <v>144401</v>
      </c>
      <c r="V199" s="111">
        <v>258.5061</v>
      </c>
      <c r="W199" s="111">
        <f t="shared" si="67"/>
        <v>37328539.346100003</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5179</v>
      </c>
      <c r="S200" s="115">
        <v>-122000</v>
      </c>
      <c r="T200" s="166" t="s">
        <v>4689</v>
      </c>
      <c r="U200" s="166">
        <v>196500</v>
      </c>
      <c r="V200" s="111">
        <v>254.452</v>
      </c>
      <c r="W200" s="111">
        <f t="shared" si="67"/>
        <v>49999818</v>
      </c>
      <c r="X200" s="97" t="s">
        <v>4693</v>
      </c>
      <c r="Y200" t="s">
        <v>25</v>
      </c>
      <c r="AA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4967</v>
      </c>
      <c r="R201" s="19" t="s">
        <v>5187</v>
      </c>
      <c r="S201" s="115">
        <v>-700000</v>
      </c>
      <c r="T201" s="210" t="s">
        <v>4689</v>
      </c>
      <c r="U201" s="210">
        <v>2561</v>
      </c>
      <c r="V201" s="111">
        <v>254.536</v>
      </c>
      <c r="W201" s="111">
        <f t="shared" si="67"/>
        <v>651866.696</v>
      </c>
      <c r="X201" s="97" t="s">
        <v>4694</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5197</v>
      </c>
      <c r="S202" s="115">
        <v>-60000</v>
      </c>
      <c r="T202" s="210" t="s">
        <v>4736</v>
      </c>
      <c r="U202" s="210">
        <v>-11795</v>
      </c>
      <c r="V202" s="111">
        <v>254.334</v>
      </c>
      <c r="W202" s="111">
        <f t="shared" si="67"/>
        <v>-2999869.5300000003</v>
      </c>
      <c r="X202" s="97" t="s">
        <v>4737</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4411</v>
      </c>
      <c r="R203" s="19" t="s">
        <v>5257</v>
      </c>
      <c r="S203" s="115">
        <v>700000</v>
      </c>
      <c r="T203" s="210" t="s">
        <v>4736</v>
      </c>
      <c r="U203" s="210">
        <v>11795</v>
      </c>
      <c r="V203" s="111">
        <v>254.334</v>
      </c>
      <c r="W203" s="111">
        <f t="shared" si="67"/>
        <v>2999869.5300000003</v>
      </c>
      <c r="X203" s="97" t="s">
        <v>4738</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87" t="s">
        <v>5730</v>
      </c>
      <c r="R204" s="187" t="s">
        <v>5266</v>
      </c>
      <c r="S204" s="186">
        <v>-4000000</v>
      </c>
      <c r="T204" s="210" t="s">
        <v>4750</v>
      </c>
      <c r="U204" s="210">
        <v>260</v>
      </c>
      <c r="V204" s="111">
        <v>263.19</v>
      </c>
      <c r="W204" s="111">
        <f t="shared" si="67"/>
        <v>68429.399999999994</v>
      </c>
      <c r="X204" s="97" t="s">
        <v>452</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5731</v>
      </c>
      <c r="R205" s="187" t="s">
        <v>5268</v>
      </c>
      <c r="S205" s="186">
        <v>4000000</v>
      </c>
      <c r="T205" s="210" t="s">
        <v>4759</v>
      </c>
      <c r="U205" s="210">
        <v>15257</v>
      </c>
      <c r="V205" s="111">
        <v>262.19018</v>
      </c>
      <c r="W205" s="111">
        <f t="shared" si="67"/>
        <v>4000235.57626</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1071</v>
      </c>
      <c r="R206" s="187" t="s">
        <v>5279</v>
      </c>
      <c r="S206" s="186">
        <v>40000000</v>
      </c>
      <c r="T206" s="210" t="s">
        <v>4759</v>
      </c>
      <c r="U206" s="210">
        <v>8444</v>
      </c>
      <c r="V206" s="111">
        <v>266.43029999999999</v>
      </c>
      <c r="W206" s="111">
        <f t="shared" si="67"/>
        <v>2249737.4531999999</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9" t="s">
        <v>4411</v>
      </c>
      <c r="R207" s="19" t="s">
        <v>5284</v>
      </c>
      <c r="S207" s="115">
        <v>-800000</v>
      </c>
      <c r="T207" s="210" t="s">
        <v>4764</v>
      </c>
      <c r="U207" s="210">
        <v>-6209</v>
      </c>
      <c r="V207" s="111">
        <v>273.79649999999998</v>
      </c>
      <c r="W207" s="111">
        <f t="shared" si="67"/>
        <v>-1700002.4685</v>
      </c>
      <c r="X207" s="97" t="s">
        <v>4775</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210" t="s">
        <v>4411</v>
      </c>
      <c r="R208" s="210" t="s">
        <v>5375</v>
      </c>
      <c r="S208" s="115">
        <v>700000</v>
      </c>
      <c r="T208" s="210" t="s">
        <v>4764</v>
      </c>
      <c r="U208" s="210">
        <v>-8014</v>
      </c>
      <c r="V208" s="111">
        <v>273.79649999999998</v>
      </c>
      <c r="W208" s="111">
        <f t="shared" si="67"/>
        <v>-2194205.1510000001</v>
      </c>
      <c r="X208" s="97" t="s">
        <v>744</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5396</v>
      </c>
      <c r="R209" s="187" t="s">
        <v>5394</v>
      </c>
      <c r="S209" s="186">
        <v>-26000000</v>
      </c>
      <c r="T209" s="210" t="s">
        <v>4773</v>
      </c>
      <c r="U209" s="210">
        <v>-9176</v>
      </c>
      <c r="V209" s="111">
        <v>273.79649999999998</v>
      </c>
      <c r="W209" s="111">
        <f t="shared" si="67"/>
        <v>-2512356.6839999999</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5396</v>
      </c>
      <c r="R210" s="187" t="s">
        <v>5399</v>
      </c>
      <c r="S210" s="186">
        <v>-95900000</v>
      </c>
      <c r="T210" s="210" t="s">
        <v>4773</v>
      </c>
      <c r="U210" s="210">
        <v>1087</v>
      </c>
      <c r="V210" s="111">
        <v>273.79649999999998</v>
      </c>
      <c r="W210" s="111">
        <f t="shared" si="67"/>
        <v>297616.79550000001</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5400</v>
      </c>
      <c r="S211" s="186">
        <v>-28950000</v>
      </c>
      <c r="T211" s="210" t="s">
        <v>966</v>
      </c>
      <c r="U211" s="210">
        <v>-4017</v>
      </c>
      <c r="V211" s="111">
        <v>273.79649999999998</v>
      </c>
      <c r="W211" s="111">
        <f t="shared" si="67"/>
        <v>-1099840.5404999999</v>
      </c>
      <c r="X211" s="97" t="s">
        <v>4411</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70" t="s">
        <v>5411</v>
      </c>
      <c r="R212" s="170" t="s">
        <v>5409</v>
      </c>
      <c r="S212" s="168">
        <v>2000000</v>
      </c>
      <c r="T212" s="210" t="s">
        <v>966</v>
      </c>
      <c r="U212" s="210">
        <v>4017</v>
      </c>
      <c r="V212" s="111">
        <v>273.79649999999998</v>
      </c>
      <c r="W212" s="111">
        <f t="shared" si="67"/>
        <v>1099840.5404999999</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5417</v>
      </c>
      <c r="R213" s="187" t="s">
        <v>5415</v>
      </c>
      <c r="S213" s="186">
        <v>1896188</v>
      </c>
      <c r="T213" s="210" t="s">
        <v>4780</v>
      </c>
      <c r="U213" s="210">
        <v>3137</v>
      </c>
      <c r="V213" s="111">
        <v>283.69110000000001</v>
      </c>
      <c r="W213" s="111">
        <f t="shared" si="67"/>
        <v>889938.98070000007</v>
      </c>
      <c r="X213" s="97" t="s">
        <v>452</v>
      </c>
      <c r="Y213" t="s">
        <v>25</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5492</v>
      </c>
      <c r="R214" s="187" t="s">
        <v>5490</v>
      </c>
      <c r="S214" s="186">
        <v>0</v>
      </c>
      <c r="T214" s="210" t="s">
        <v>4793</v>
      </c>
      <c r="U214" s="210">
        <v>101933</v>
      </c>
      <c r="V214" s="111">
        <v>294.30973999999998</v>
      </c>
      <c r="W214" s="111">
        <f t="shared" si="67"/>
        <v>29999874.727419998</v>
      </c>
      <c r="X214" s="97" t="s">
        <v>1071</v>
      </c>
      <c r="Y214" t="s">
        <v>25</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5582</v>
      </c>
      <c r="R215" s="187" t="s">
        <v>5577</v>
      </c>
      <c r="S215" s="186">
        <v>-1265000</v>
      </c>
      <c r="T215" s="210" t="s">
        <v>4800</v>
      </c>
      <c r="U215" s="210">
        <v>3407</v>
      </c>
      <c r="V215" s="111">
        <v>293.43799999999999</v>
      </c>
      <c r="W215" s="111">
        <f t="shared" si="67"/>
        <v>999743.26599999995</v>
      </c>
      <c r="X215" s="97" t="s">
        <v>452</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5621</v>
      </c>
      <c r="R216" s="187" t="s">
        <v>4214</v>
      </c>
      <c r="S216" s="186">
        <v>13752871.322800001</v>
      </c>
      <c r="T216" s="210" t="s">
        <v>4801</v>
      </c>
      <c r="U216" s="210">
        <v>68796</v>
      </c>
      <c r="V216" s="111">
        <v>293.53250000000003</v>
      </c>
      <c r="W216" s="111">
        <f t="shared" si="67"/>
        <v>20193861.870000001</v>
      </c>
      <c r="X216" s="97" t="s">
        <v>744</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213" t="s">
        <v>5411</v>
      </c>
      <c r="R217" s="213" t="s">
        <v>5623</v>
      </c>
      <c r="S217" s="240">
        <v>-48150</v>
      </c>
      <c r="T217" s="210" t="s">
        <v>4801</v>
      </c>
      <c r="U217" s="210">
        <v>154791</v>
      </c>
      <c r="V217" s="111">
        <v>293.53250000000003</v>
      </c>
      <c r="W217" s="111">
        <f t="shared" si="67"/>
        <v>45436189.207500003</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9" t="s">
        <v>5636</v>
      </c>
      <c r="R218" s="19" t="s">
        <v>5633</v>
      </c>
      <c r="S218" s="115">
        <v>3123901.3702000002</v>
      </c>
      <c r="T218" s="210" t="s">
        <v>4801</v>
      </c>
      <c r="U218" s="210">
        <v>-11923</v>
      </c>
      <c r="V218" s="111">
        <v>293.53250000000003</v>
      </c>
      <c r="W218" s="111">
        <f t="shared" si="67"/>
        <v>-3499787.9975000005</v>
      </c>
      <c r="X218" s="97" t="s">
        <v>452</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5647</v>
      </c>
      <c r="S219" s="240">
        <v>-50000</v>
      </c>
      <c r="T219" s="210" t="s">
        <v>4813</v>
      </c>
      <c r="U219" s="210">
        <v>8424</v>
      </c>
      <c r="V219" s="111">
        <v>299.15170000000001</v>
      </c>
      <c r="W219" s="111">
        <f t="shared" si="67"/>
        <v>2520053.9208</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13" t="s">
        <v>5411</v>
      </c>
      <c r="R220" s="213" t="s">
        <v>5653</v>
      </c>
      <c r="S220" s="240">
        <v>-120000</v>
      </c>
      <c r="T220" s="210" t="s">
        <v>4848</v>
      </c>
      <c r="U220" s="210">
        <v>15943</v>
      </c>
      <c r="V220" s="111">
        <v>307.34415000000001</v>
      </c>
      <c r="W220" s="111">
        <f t="shared" si="67"/>
        <v>4899987.78345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71" t="s">
        <v>5411</v>
      </c>
      <c r="R221" s="271" t="s">
        <v>5641</v>
      </c>
      <c r="S221" s="92">
        <v>-150000</v>
      </c>
      <c r="T221" s="210" t="s">
        <v>4867</v>
      </c>
      <c r="U221" s="210">
        <v>3741</v>
      </c>
      <c r="V221" s="111">
        <v>307.34415000000001</v>
      </c>
      <c r="W221" s="111">
        <f t="shared" si="67"/>
        <v>1149774.4651500001</v>
      </c>
      <c r="X221" s="97" t="s">
        <v>452</v>
      </c>
      <c r="Z221" t="s">
        <v>25</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71" t="s">
        <v>5411</v>
      </c>
      <c r="R222" s="271" t="s">
        <v>5668</v>
      </c>
      <c r="S222" s="92">
        <v>-200000</v>
      </c>
      <c r="T222" s="210" t="s">
        <v>4872</v>
      </c>
      <c r="U222" s="210">
        <v>-6207</v>
      </c>
      <c r="V222" s="111">
        <v>322.214</v>
      </c>
      <c r="W222" s="111">
        <f t="shared" si="67"/>
        <v>-1999982.298</v>
      </c>
      <c r="X222" s="97" t="s">
        <v>744</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5673</v>
      </c>
      <c r="S223" s="92">
        <v>-120000</v>
      </c>
      <c r="T223" s="210" t="s">
        <v>4872</v>
      </c>
      <c r="U223" s="210">
        <v>6207</v>
      </c>
      <c r="V223" s="111">
        <v>322.214</v>
      </c>
      <c r="W223" s="111">
        <f t="shared" si="67"/>
        <v>1999982.298</v>
      </c>
      <c r="X223" s="97" t="s">
        <v>4411</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5714</v>
      </c>
      <c r="S224" s="92">
        <v>-6000000</v>
      </c>
      <c r="T224" s="210" t="s">
        <v>4820</v>
      </c>
      <c r="U224" s="210">
        <v>776</v>
      </c>
      <c r="V224" s="111">
        <v>322.214</v>
      </c>
      <c r="W224" s="111">
        <f t="shared" si="67"/>
        <v>250038.06400000001</v>
      </c>
      <c r="X224" s="97" t="s">
        <v>452</v>
      </c>
      <c r="AH224" s="97">
        <v>204</v>
      </c>
      <c r="AI224" s="111" t="s">
        <v>5399</v>
      </c>
      <c r="AJ224" s="111">
        <v>40000000</v>
      </c>
      <c r="AK224" s="97">
        <v>8</v>
      </c>
      <c r="AL224" s="20">
        <f t="shared" si="78"/>
        <v>197</v>
      </c>
      <c r="AM224" s="115">
        <f t="shared" si="79"/>
        <v>7880000000</v>
      </c>
      <c r="AN224" s="20" t="s">
        <v>4691</v>
      </c>
    </row>
    <row r="225" spans="4:45" ht="45">
      <c r="F225" s="94"/>
      <c r="G225" s="210" t="s">
        <v>5626</v>
      </c>
      <c r="H225" s="111">
        <v>7510131.0216000006</v>
      </c>
      <c r="I225" s="94"/>
      <c r="J225" t="s">
        <v>25</v>
      </c>
      <c r="P225" t="s">
        <v>25</v>
      </c>
      <c r="Q225" s="262" t="s">
        <v>5750</v>
      </c>
      <c r="R225" s="187" t="s">
        <v>5714</v>
      </c>
      <c r="S225" s="186">
        <v>-6200000</v>
      </c>
      <c r="T225" s="210" t="s">
        <v>4895</v>
      </c>
      <c r="U225" s="210">
        <v>1524</v>
      </c>
      <c r="V225" s="111">
        <v>314.95999999999998</v>
      </c>
      <c r="W225" s="111">
        <f t="shared" si="67"/>
        <v>479999.04</v>
      </c>
      <c r="X225" s="97" t="s">
        <v>1071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19" t="s">
        <v>4967</v>
      </c>
      <c r="R226" s="19" t="s">
        <v>5714</v>
      </c>
      <c r="S226" s="115">
        <v>-1500000</v>
      </c>
      <c r="T226" s="210" t="s">
        <v>4902</v>
      </c>
      <c r="U226" s="210">
        <v>4435</v>
      </c>
      <c r="V226" s="111">
        <v>316.4375</v>
      </c>
      <c r="W226" s="111">
        <f t="shared" si="67"/>
        <v>1403400.3125</v>
      </c>
      <c r="X226" s="97" t="s">
        <v>452</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87" t="s">
        <v>5734</v>
      </c>
      <c r="R227" s="187" t="s">
        <v>5714</v>
      </c>
      <c r="S227" s="186">
        <v>-15000000</v>
      </c>
      <c r="T227" s="210" t="s">
        <v>4905</v>
      </c>
      <c r="U227" s="210">
        <v>624</v>
      </c>
      <c r="V227" s="111">
        <v>320.5</v>
      </c>
      <c r="W227" s="111">
        <f t="shared" si="67"/>
        <v>199992</v>
      </c>
      <c r="X227" s="97" t="s">
        <v>452</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87" t="s">
        <v>5733</v>
      </c>
      <c r="R228" s="187" t="s">
        <v>5714</v>
      </c>
      <c r="S228" s="186">
        <v>15000000</v>
      </c>
      <c r="T228" s="210" t="s">
        <v>4910</v>
      </c>
      <c r="U228" s="210">
        <v>1086</v>
      </c>
      <c r="V228" s="111">
        <v>317.55</v>
      </c>
      <c r="W228" s="111">
        <f t="shared" si="67"/>
        <v>344859.3</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5753</v>
      </c>
      <c r="R229" s="187" t="s">
        <v>5746</v>
      </c>
      <c r="S229" s="186">
        <v>-1500000</v>
      </c>
      <c r="T229" s="210" t="s">
        <v>4915</v>
      </c>
      <c r="U229" s="210">
        <v>2820</v>
      </c>
      <c r="V229" s="111">
        <v>319.1096</v>
      </c>
      <c r="W229" s="111">
        <f t="shared" si="67"/>
        <v>899889.07200000004</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c r="R230" s="187"/>
      <c r="S230" s="186"/>
      <c r="T230" s="210" t="s">
        <v>4918</v>
      </c>
      <c r="U230" s="210">
        <v>1145</v>
      </c>
      <c r="V230" s="111">
        <v>325.44</v>
      </c>
      <c r="W230" s="111">
        <f t="shared" si="67"/>
        <v>372628.8</v>
      </c>
      <c r="X230" s="97" t="s">
        <v>452</v>
      </c>
      <c r="Y230" t="s">
        <v>25</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9"/>
      <c r="R231" s="19"/>
      <c r="S231" s="115"/>
      <c r="T231" s="210" t="s">
        <v>4926</v>
      </c>
      <c r="U231" s="210">
        <v>20153</v>
      </c>
      <c r="V231" s="111">
        <v>322</v>
      </c>
      <c r="W231" s="111">
        <f t="shared" si="67"/>
        <v>6489266</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210"/>
      <c r="R232" s="210"/>
      <c r="S232" s="111"/>
      <c r="T232" s="210" t="s">
        <v>4936</v>
      </c>
      <c r="U232" s="210">
        <v>93720</v>
      </c>
      <c r="V232" s="111">
        <v>325.435</v>
      </c>
      <c r="W232" s="111">
        <f t="shared" si="67"/>
        <v>30499768.199999999</v>
      </c>
      <c r="X232" s="97" t="s">
        <v>1071</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210"/>
      <c r="R233" s="210"/>
      <c r="S233" s="111">
        <f>SUM(S180:S232)</f>
        <v>-14281634.306999996</v>
      </c>
      <c r="T233" s="210" t="s">
        <v>4936</v>
      </c>
      <c r="U233" s="210">
        <v>20895</v>
      </c>
      <c r="V233" s="111">
        <v>325.435</v>
      </c>
      <c r="W233" s="111">
        <f t="shared" si="67"/>
        <v>6799964.3250000002</v>
      </c>
      <c r="X233" s="97" t="s">
        <v>744</v>
      </c>
      <c r="AA233" t="s">
        <v>25</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41"/>
      <c r="R234" s="210"/>
      <c r="S234" s="210" t="s">
        <v>6</v>
      </c>
      <c r="T234" s="210" t="s">
        <v>4945</v>
      </c>
      <c r="U234" s="210">
        <v>2611</v>
      </c>
      <c r="V234" s="111">
        <v>325.435</v>
      </c>
      <c r="W234" s="111">
        <f t="shared" si="67"/>
        <v>849710.78500000003</v>
      </c>
      <c r="X234" s="97" t="s">
        <v>744</v>
      </c>
      <c r="AH234" s="97">
        <v>214</v>
      </c>
      <c r="AI234" s="111" t="s">
        <v>5623</v>
      </c>
      <c r="AJ234" s="111">
        <v>25000</v>
      </c>
      <c r="AK234" s="97">
        <v>8</v>
      </c>
      <c r="AL234" s="20">
        <f t="shared" si="78"/>
        <v>66</v>
      </c>
      <c r="AM234" s="115">
        <f t="shared" si="79"/>
        <v>1650000</v>
      </c>
      <c r="AN234" s="20"/>
    </row>
    <row r="235" spans="4:45">
      <c r="G235" s="210" t="s">
        <v>5695</v>
      </c>
      <c r="H235" s="111">
        <v>22877413.789960001</v>
      </c>
      <c r="Q235" s="94"/>
      <c r="T235" s="210" t="s">
        <v>4954</v>
      </c>
      <c r="U235" s="210">
        <v>6750</v>
      </c>
      <c r="V235" s="111">
        <v>339.3</v>
      </c>
      <c r="W235" s="111">
        <f t="shared" si="67"/>
        <v>2290275</v>
      </c>
      <c r="X235" s="97" t="s">
        <v>744</v>
      </c>
      <c r="AH235" s="97">
        <v>215</v>
      </c>
      <c r="AI235" s="111" t="s">
        <v>5647</v>
      </c>
      <c r="AJ235" s="111">
        <v>70000</v>
      </c>
      <c r="AK235" s="97">
        <v>6</v>
      </c>
      <c r="AL235" s="20">
        <f t="shared" si="78"/>
        <v>58</v>
      </c>
      <c r="AM235" s="115">
        <f t="shared" si="79"/>
        <v>4060000</v>
      </c>
      <c r="AN235" s="20"/>
    </row>
    <row r="236" spans="4:45">
      <c r="G236" s="210" t="s">
        <v>5698</v>
      </c>
      <c r="H236" s="111">
        <v>2362539.4373280001</v>
      </c>
      <c r="Q236" s="94" t="s">
        <v>25</v>
      </c>
      <c r="R236" s="94" t="s">
        <v>25</v>
      </c>
      <c r="T236" s="210" t="s">
        <v>4962</v>
      </c>
      <c r="U236" s="210">
        <v>1850</v>
      </c>
      <c r="V236" s="111">
        <v>334.10050000000001</v>
      </c>
      <c r="W236" s="111">
        <f t="shared" si="67"/>
        <v>618085.92500000005</v>
      </c>
      <c r="X236" s="97" t="s">
        <v>452</v>
      </c>
      <c r="Y236" t="s">
        <v>25</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t="s">
        <v>25</v>
      </c>
      <c r="R237" s="94" t="s">
        <v>25</v>
      </c>
      <c r="S237" t="s">
        <v>25</v>
      </c>
      <c r="T237" s="210" t="s">
        <v>4962</v>
      </c>
      <c r="U237" s="210">
        <v>-1194</v>
      </c>
      <c r="V237" s="111">
        <v>335</v>
      </c>
      <c r="W237" s="111">
        <f t="shared" si="67"/>
        <v>-399990</v>
      </c>
      <c r="X237" s="97" t="s">
        <v>4411</v>
      </c>
      <c r="Y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S238" t="s">
        <v>25</v>
      </c>
      <c r="T238" s="210" t="s">
        <v>4962</v>
      </c>
      <c r="U238" s="210">
        <v>1194</v>
      </c>
      <c r="V238" s="111">
        <v>335</v>
      </c>
      <c r="W238" s="111">
        <f t="shared" si="67"/>
        <v>399990</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7" t="s">
        <v>744</v>
      </c>
      <c r="R239" s="97"/>
      <c r="S239" t="s">
        <v>25</v>
      </c>
      <c r="T239" s="210" t="s">
        <v>4969</v>
      </c>
      <c r="U239" s="210">
        <v>433</v>
      </c>
      <c r="V239" s="111">
        <v>345.68</v>
      </c>
      <c r="W239" s="111">
        <f t="shared" si="67"/>
        <v>149679.44</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4404</v>
      </c>
      <c r="R240" s="93">
        <v>172908000</v>
      </c>
      <c r="T240" s="210" t="s">
        <v>4973</v>
      </c>
      <c r="U240" s="210">
        <v>55459</v>
      </c>
      <c r="V240" s="111">
        <v>362.51978000000003</v>
      </c>
      <c r="W240" s="111">
        <f t="shared" si="67"/>
        <v>20104984.479020003</v>
      </c>
      <c r="X240" s="97" t="s">
        <v>452</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4438</v>
      </c>
      <c r="R241" s="93">
        <v>1400000</v>
      </c>
      <c r="T241" s="210" t="s">
        <v>4977</v>
      </c>
      <c r="U241" s="210">
        <v>-57212</v>
      </c>
      <c r="V241" s="111">
        <v>368.45400000000001</v>
      </c>
      <c r="W241" s="111">
        <f t="shared" si="67"/>
        <v>-21079990.248</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4210</v>
      </c>
      <c r="R242" s="93">
        <v>247393</v>
      </c>
      <c r="S242" t="s">
        <v>25</v>
      </c>
      <c r="T242" s="210" t="s">
        <v>4978</v>
      </c>
      <c r="U242" s="210">
        <v>-15881</v>
      </c>
      <c r="V242" s="111">
        <v>374.61599999999999</v>
      </c>
      <c r="W242" s="111">
        <f t="shared" si="67"/>
        <v>-5949276.6959999995</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4209</v>
      </c>
      <c r="R243" s="93">
        <v>6780000</v>
      </c>
      <c r="T243" s="210" t="s">
        <v>4984</v>
      </c>
      <c r="U243" s="210">
        <v>-41289</v>
      </c>
      <c r="V243" s="111">
        <v>372.27</v>
      </c>
      <c r="W243" s="111">
        <f t="shared" si="67"/>
        <v>-15370656.029999999</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4540</v>
      </c>
      <c r="R244" s="93">
        <v>-4000000</v>
      </c>
      <c r="T244" s="210" t="s">
        <v>4990</v>
      </c>
      <c r="U244" s="210">
        <v>13563</v>
      </c>
      <c r="V244" s="111">
        <v>365.69799999999998</v>
      </c>
      <c r="W244" s="111">
        <f t="shared" si="67"/>
        <v>4959961.9739999995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4566</v>
      </c>
      <c r="R245" s="93">
        <v>16727037</v>
      </c>
      <c r="T245" s="210" t="s">
        <v>4990</v>
      </c>
      <c r="U245" s="210">
        <v>27344</v>
      </c>
      <c r="V245" s="111">
        <v>365.69799999999998</v>
      </c>
      <c r="W245" s="111">
        <f t="shared" si="67"/>
        <v>9999646.1119999997</v>
      </c>
      <c r="X245" s="97" t="s">
        <v>452</v>
      </c>
      <c r="AH245" s="97"/>
      <c r="AI245" s="111"/>
      <c r="AJ245" s="111">
        <v>0</v>
      </c>
      <c r="AK245" s="97">
        <v>0</v>
      </c>
      <c r="AL245" s="20">
        <f t="shared" si="78"/>
        <v>0</v>
      </c>
      <c r="AM245" s="115">
        <f t="shared" si="79"/>
        <v>0</v>
      </c>
      <c r="AN245" s="20"/>
    </row>
    <row r="246" spans="7:44" ht="30">
      <c r="G246" s="210" t="s">
        <v>5718</v>
      </c>
      <c r="H246" s="111">
        <v>110770524.97879399</v>
      </c>
      <c r="Q246" s="97" t="s">
        <v>4571</v>
      </c>
      <c r="R246" s="93">
        <v>46460683</v>
      </c>
      <c r="S246" t="s">
        <v>25</v>
      </c>
      <c r="T246" s="210" t="s">
        <v>4997</v>
      </c>
      <c r="U246" s="210">
        <v>-103145</v>
      </c>
      <c r="V246" s="111">
        <v>393.334</v>
      </c>
      <c r="W246" s="111">
        <f t="shared" si="67"/>
        <v>-40570435.43</v>
      </c>
      <c r="X246" s="36" t="s">
        <v>5002</v>
      </c>
      <c r="AH246" s="97"/>
      <c r="AI246" s="111"/>
      <c r="AJ246" s="111">
        <v>0</v>
      </c>
      <c r="AK246" s="97">
        <v>0</v>
      </c>
      <c r="AL246" s="20">
        <f t="shared" si="78"/>
        <v>0</v>
      </c>
      <c r="AM246" s="115">
        <f t="shared" si="79"/>
        <v>0</v>
      </c>
      <c r="AN246" s="20"/>
    </row>
    <row r="247" spans="7:44">
      <c r="G247" s="210" t="s">
        <v>5735</v>
      </c>
      <c r="H247" s="111">
        <v>6684147.0064600008</v>
      </c>
      <c r="Q247" s="97" t="s">
        <v>4572</v>
      </c>
      <c r="R247" s="93">
        <v>19663646</v>
      </c>
      <c r="T247" s="210" t="s">
        <v>4997</v>
      </c>
      <c r="U247" s="210">
        <v>-369</v>
      </c>
      <c r="V247" s="111">
        <v>393.334</v>
      </c>
      <c r="W247" s="111">
        <f t="shared" si="67"/>
        <v>-145140.24600000001</v>
      </c>
      <c r="X247" s="36" t="s">
        <v>5076</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4595</v>
      </c>
      <c r="R248" s="93">
        <v>4374525</v>
      </c>
      <c r="T248" s="210" t="s">
        <v>4997</v>
      </c>
      <c r="U248" s="210">
        <v>-889</v>
      </c>
      <c r="V248" s="111">
        <v>393.334</v>
      </c>
      <c r="W248" s="111">
        <f t="shared" si="67"/>
        <v>-349673.92599999998</v>
      </c>
      <c r="X248" s="36" t="s">
        <v>5077</v>
      </c>
      <c r="AH248" s="97"/>
      <c r="AI248" s="111"/>
      <c r="AJ248" s="111">
        <v>0</v>
      </c>
      <c r="AK248" s="97"/>
      <c r="AL248" s="20">
        <f t="shared" si="78"/>
        <v>0</v>
      </c>
      <c r="AM248" s="115">
        <f t="shared" si="79"/>
        <v>0</v>
      </c>
      <c r="AN248" s="20"/>
    </row>
    <row r="249" spans="7:44">
      <c r="G249" s="210" t="s">
        <v>5744</v>
      </c>
      <c r="H249" s="111">
        <v>3577366.94</v>
      </c>
      <c r="Q249" s="97" t="s">
        <v>4606</v>
      </c>
      <c r="R249" s="93">
        <v>6550580</v>
      </c>
      <c r="T249" s="210" t="s">
        <v>5006</v>
      </c>
      <c r="U249" s="210">
        <v>2546</v>
      </c>
      <c r="V249" s="111">
        <v>393</v>
      </c>
      <c r="W249" s="111">
        <f t="shared" si="67"/>
        <v>1000578</v>
      </c>
      <c r="X249" s="36" t="s">
        <v>452</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4608</v>
      </c>
      <c r="R250" s="93">
        <v>6650895</v>
      </c>
      <c r="T250" s="210" t="s">
        <v>5007</v>
      </c>
      <c r="U250" s="210">
        <v>1034</v>
      </c>
      <c r="V250" s="111">
        <v>386.608</v>
      </c>
      <c r="W250" s="111">
        <f t="shared" si="67"/>
        <v>399752.67200000002</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4625</v>
      </c>
      <c r="R251" s="93">
        <v>2145814</v>
      </c>
      <c r="T251" s="210" t="s">
        <v>5014</v>
      </c>
      <c r="U251" s="210">
        <v>300</v>
      </c>
      <c r="V251" s="111">
        <v>400</v>
      </c>
      <c r="W251" s="111">
        <f t="shared" si="67"/>
        <v>120000</v>
      </c>
      <c r="X251" s="36" t="s">
        <v>452</v>
      </c>
      <c r="AH251" s="97"/>
      <c r="AI251" s="97"/>
      <c r="AJ251" s="97" t="s">
        <v>4043</v>
      </c>
      <c r="AK251" s="97"/>
      <c r="AL251" s="97"/>
      <c r="AM251" s="97" t="s">
        <v>284</v>
      </c>
      <c r="AN251" s="97" t="s">
        <v>928</v>
      </c>
    </row>
    <row r="252" spans="7:44">
      <c r="G252" s="210" t="s">
        <v>5756</v>
      </c>
      <c r="H252" s="111">
        <v>7357181.2750800001</v>
      </c>
      <c r="J252" t="s">
        <v>25</v>
      </c>
      <c r="Q252" s="97" t="s">
        <v>4636</v>
      </c>
      <c r="R252" s="93">
        <v>4369730</v>
      </c>
      <c r="T252" s="210" t="s">
        <v>5023</v>
      </c>
      <c r="U252" s="210">
        <v>782</v>
      </c>
      <c r="V252" s="111">
        <v>409</v>
      </c>
      <c r="W252" s="111">
        <f t="shared" si="67"/>
        <v>319838</v>
      </c>
      <c r="X252" s="36" t="s">
        <v>744</v>
      </c>
      <c r="AH252" s="97"/>
      <c r="AI252" s="97"/>
      <c r="AJ252" s="97"/>
      <c r="AK252" s="97"/>
      <c r="AL252" s="97"/>
      <c r="AM252" s="97"/>
      <c r="AN252" s="97"/>
    </row>
    <row r="253" spans="7:44">
      <c r="G253" s="210" t="s">
        <v>5760</v>
      </c>
      <c r="H253" s="111">
        <v>14951411.942400001</v>
      </c>
      <c r="Q253" s="97" t="s">
        <v>4638</v>
      </c>
      <c r="R253" s="93">
        <v>8739459</v>
      </c>
      <c r="S253" t="s">
        <v>25</v>
      </c>
      <c r="T253" s="210" t="s">
        <v>5027</v>
      </c>
      <c r="U253" s="210">
        <v>1220</v>
      </c>
      <c r="V253" s="111">
        <v>409.9</v>
      </c>
      <c r="W253" s="111">
        <f t="shared" si="67"/>
        <v>500078</v>
      </c>
      <c r="X253" s="36" t="s">
        <v>744</v>
      </c>
      <c r="AH253" s="97"/>
      <c r="AI253" s="97"/>
      <c r="AJ253" s="97"/>
      <c r="AK253" s="97"/>
      <c r="AL253" s="97"/>
      <c r="AM253" s="97" t="s">
        <v>4044</v>
      </c>
      <c r="AN253" s="97">
        <v>1.6667000000000001E-2</v>
      </c>
      <c r="AQ253" t="s">
        <v>25</v>
      </c>
    </row>
    <row r="254" spans="7:44">
      <c r="G254" s="210" t="s">
        <v>5764</v>
      </c>
      <c r="H254" s="111">
        <v>47928209.377011999</v>
      </c>
      <c r="Q254" s="97" t="s">
        <v>4647</v>
      </c>
      <c r="R254" s="93">
        <v>6667654</v>
      </c>
      <c r="T254" s="210" t="s">
        <v>5029</v>
      </c>
      <c r="U254" s="210">
        <v>1285</v>
      </c>
      <c r="V254" s="111">
        <v>388.84</v>
      </c>
      <c r="W254" s="111">
        <f t="shared" si="67"/>
        <v>499659.39999999997</v>
      </c>
      <c r="X254" s="36" t="s">
        <v>452</v>
      </c>
      <c r="AH254" s="97"/>
      <c r="AI254" s="97"/>
      <c r="AJ254" s="97"/>
      <c r="AK254" s="97"/>
      <c r="AL254" s="97"/>
      <c r="AM254" s="97"/>
      <c r="AN254" s="97"/>
    </row>
    <row r="255" spans="7:44">
      <c r="G255" s="210" t="s">
        <v>5767</v>
      </c>
      <c r="H255" s="111">
        <v>2281595.69937</v>
      </c>
      <c r="J255" t="s">
        <v>25</v>
      </c>
      <c r="Q255" s="97" t="s">
        <v>4655</v>
      </c>
      <c r="R255" s="93">
        <v>8981245</v>
      </c>
      <c r="T255" s="210" t="s">
        <v>5019</v>
      </c>
      <c r="U255" s="210">
        <v>1924</v>
      </c>
      <c r="V255" s="111">
        <v>386.69600000000003</v>
      </c>
      <c r="W255" s="111">
        <f t="shared" si="67"/>
        <v>744003.10400000005</v>
      </c>
      <c r="X255" s="36" t="s">
        <v>452</v>
      </c>
      <c r="AH255" s="97"/>
      <c r="AI255" s="97" t="s">
        <v>4045</v>
      </c>
      <c r="AJ255" s="93">
        <f>AJ250+AN250</f>
        <v>676727427.07278967</v>
      </c>
      <c r="AK255" s="97"/>
      <c r="AL255" s="97"/>
      <c r="AM255" s="97"/>
      <c r="AN255" s="97"/>
    </row>
    <row r="256" spans="7:44">
      <c r="G256" s="210" t="s">
        <v>5770</v>
      </c>
      <c r="H256" s="111">
        <v>2964916.035069</v>
      </c>
      <c r="Q256" s="97" t="s">
        <v>4659</v>
      </c>
      <c r="R256" s="93">
        <v>9181756</v>
      </c>
      <c r="T256" s="210" t="s">
        <v>5045</v>
      </c>
      <c r="U256" s="210">
        <v>165</v>
      </c>
      <c r="V256" s="111">
        <v>393.5</v>
      </c>
      <c r="W256" s="111">
        <f t="shared" si="67"/>
        <v>64927.5</v>
      </c>
      <c r="X256" s="36" t="s">
        <v>452</v>
      </c>
      <c r="AI256" t="s">
        <v>4048</v>
      </c>
      <c r="AJ256" s="112">
        <f>SUM(N39:N47)</f>
        <v>6075881808</v>
      </c>
      <c r="AM256" t="s">
        <v>25</v>
      </c>
    </row>
    <row r="257" spans="7:45" ht="30">
      <c r="G257" s="210" t="s">
        <v>5772</v>
      </c>
      <c r="H257" s="111">
        <v>6460549.4269619994</v>
      </c>
      <c r="K257" t="s">
        <v>25</v>
      </c>
      <c r="Q257" s="97" t="s">
        <v>4662</v>
      </c>
      <c r="R257" s="93">
        <v>11811208</v>
      </c>
      <c r="S257" t="s">
        <v>25</v>
      </c>
      <c r="T257" s="210" t="s">
        <v>5051</v>
      </c>
      <c r="U257" s="210">
        <v>-34859</v>
      </c>
      <c r="V257" s="111">
        <v>403.1585</v>
      </c>
      <c r="W257" s="111">
        <f t="shared" si="67"/>
        <v>-14053702.1515</v>
      </c>
      <c r="X257" s="36" t="s">
        <v>5054</v>
      </c>
      <c r="AI257" t="s">
        <v>4120</v>
      </c>
      <c r="AJ257" s="112">
        <f>AJ256-AJ250</f>
        <v>5589966057</v>
      </c>
      <c r="AM257" t="s">
        <v>25</v>
      </c>
    </row>
    <row r="258" spans="7:45">
      <c r="G258" s="210" t="s">
        <v>5776</v>
      </c>
      <c r="H258" s="111">
        <v>5212319.8968359996</v>
      </c>
      <c r="Q258" s="97" t="s">
        <v>4676</v>
      </c>
      <c r="R258" s="93">
        <v>41248054</v>
      </c>
      <c r="S258" t="s">
        <v>25</v>
      </c>
      <c r="T258" s="210" t="s">
        <v>5020</v>
      </c>
      <c r="U258" s="210">
        <v>8476</v>
      </c>
      <c r="V258" s="111">
        <v>419.49900000000002</v>
      </c>
      <c r="W258" s="111">
        <f t="shared" si="67"/>
        <v>3555673.5240000002</v>
      </c>
      <c r="X258" s="36" t="s">
        <v>5060</v>
      </c>
      <c r="AI258" t="s">
        <v>928</v>
      </c>
      <c r="AJ258" s="112">
        <f>AN250</f>
        <v>190811676.07278973</v>
      </c>
      <c r="AN258" t="s">
        <v>25</v>
      </c>
    </row>
    <row r="259" spans="7:45" ht="15" customHeight="1">
      <c r="G259" s="210" t="s">
        <v>5782</v>
      </c>
      <c r="H259" s="111">
        <v>4524496.4792809999</v>
      </c>
      <c r="Q259" s="97" t="s">
        <v>4683</v>
      </c>
      <c r="R259" s="93">
        <v>37328780</v>
      </c>
      <c r="T259" s="210" t="s">
        <v>5072</v>
      </c>
      <c r="U259" s="210">
        <v>903</v>
      </c>
      <c r="V259" s="111">
        <v>442.77379999999999</v>
      </c>
      <c r="W259" s="111">
        <f t="shared" si="67"/>
        <v>399824.7414</v>
      </c>
      <c r="X259" s="36" t="s">
        <v>744</v>
      </c>
      <c r="AI259" t="s">
        <v>4049</v>
      </c>
      <c r="AJ259" s="112">
        <f>AJ256-AJ255</f>
        <v>5399154380.9272099</v>
      </c>
      <c r="AN259" t="s">
        <v>25</v>
      </c>
    </row>
    <row r="260" spans="7:45">
      <c r="G260" s="210" t="s">
        <v>5785</v>
      </c>
      <c r="H260" s="111">
        <v>22866040.240959998</v>
      </c>
      <c r="Q260" s="97" t="s">
        <v>4764</v>
      </c>
      <c r="R260" s="93">
        <v>-2194100</v>
      </c>
      <c r="T260" s="210" t="s">
        <v>5075</v>
      </c>
      <c r="U260" s="210">
        <v>113</v>
      </c>
      <c r="V260" s="111">
        <v>442.48200000000003</v>
      </c>
      <c r="W260" s="111">
        <f t="shared" ref="W260:W349" si="80">U260*V260</f>
        <v>50000.466</v>
      </c>
      <c r="X260" s="36" t="s">
        <v>744</v>
      </c>
      <c r="AM260" t="s">
        <v>25</v>
      </c>
    </row>
    <row r="261" spans="7:45">
      <c r="G261" s="210" t="s">
        <v>5788</v>
      </c>
      <c r="H261" s="111">
        <v>15359304.269892</v>
      </c>
      <c r="Q261" s="97" t="s">
        <v>4801</v>
      </c>
      <c r="R261" s="93">
        <v>20193916</v>
      </c>
      <c r="T261" s="210" t="s">
        <v>5085</v>
      </c>
      <c r="U261" s="210">
        <v>671</v>
      </c>
      <c r="V261" s="111">
        <v>447</v>
      </c>
      <c r="W261" s="111">
        <f t="shared" si="80"/>
        <v>299937</v>
      </c>
      <c r="X261" s="36" t="s">
        <v>744</v>
      </c>
      <c r="AJ261" t="s">
        <v>25</v>
      </c>
    </row>
    <row r="262" spans="7:45">
      <c r="G262" s="210"/>
      <c r="H262" s="111"/>
      <c r="Q262" s="97" t="s">
        <v>4872</v>
      </c>
      <c r="R262" s="93">
        <v>-2000000</v>
      </c>
      <c r="T262" s="210" t="s">
        <v>5087</v>
      </c>
      <c r="U262" s="210">
        <v>7</v>
      </c>
      <c r="V262" s="111">
        <v>465.31200000000001</v>
      </c>
      <c r="W262" s="111">
        <f t="shared" si="80"/>
        <v>3257.1840000000002</v>
      </c>
      <c r="X262" s="36" t="s">
        <v>452</v>
      </c>
    </row>
    <row r="263" spans="7:45" ht="17.25" customHeight="1">
      <c r="G263" s="210"/>
      <c r="H263" s="111"/>
      <c r="Q263" s="97" t="s">
        <v>4936</v>
      </c>
      <c r="R263" s="93">
        <v>6800000</v>
      </c>
      <c r="S263" t="s">
        <v>25</v>
      </c>
      <c r="T263" s="210" t="s">
        <v>5093</v>
      </c>
      <c r="U263" s="210">
        <v>12950</v>
      </c>
      <c r="V263" s="111">
        <v>463.31599999999997</v>
      </c>
      <c r="W263" s="111">
        <f t="shared" si="80"/>
        <v>5999942.1999999993</v>
      </c>
      <c r="X263" s="36" t="s">
        <v>452</v>
      </c>
    </row>
    <row r="264" spans="7:45">
      <c r="G264" s="210"/>
      <c r="H264" s="111"/>
      <c r="Q264" s="97" t="s">
        <v>4945</v>
      </c>
      <c r="R264" s="93">
        <v>850000</v>
      </c>
      <c r="T264" s="210" t="s">
        <v>5096</v>
      </c>
      <c r="U264" s="210">
        <v>37</v>
      </c>
      <c r="V264" s="111">
        <v>463.315</v>
      </c>
      <c r="W264" s="111">
        <f t="shared" si="80"/>
        <v>17142.654999999999</v>
      </c>
      <c r="X264" s="36" t="s">
        <v>452</v>
      </c>
    </row>
    <row r="265" spans="7:45">
      <c r="G265" s="210" t="s">
        <v>5569</v>
      </c>
      <c r="H265" s="111">
        <v>-87000000</v>
      </c>
      <c r="J265" t="s">
        <v>25</v>
      </c>
      <c r="Q265" s="97" t="s">
        <v>4954</v>
      </c>
      <c r="R265" s="93">
        <v>2290500</v>
      </c>
      <c r="T265" s="210" t="s">
        <v>5097</v>
      </c>
      <c r="U265" s="210">
        <v>19</v>
      </c>
      <c r="V265" s="111">
        <v>434.3</v>
      </c>
      <c r="W265" s="111">
        <f t="shared" si="80"/>
        <v>8251.7000000000007</v>
      </c>
      <c r="X265" s="36" t="s">
        <v>452</v>
      </c>
      <c r="Y265" t="s">
        <v>25</v>
      </c>
    </row>
    <row r="266" spans="7:45">
      <c r="G266" s="210"/>
      <c r="H266" s="111"/>
      <c r="Q266" s="97" t="s">
        <v>4962</v>
      </c>
      <c r="R266" s="93">
        <v>400000</v>
      </c>
      <c r="S266" t="s">
        <v>25</v>
      </c>
      <c r="T266" s="210" t="s">
        <v>5099</v>
      </c>
      <c r="U266" s="210">
        <v>16</v>
      </c>
      <c r="V266" s="111">
        <v>439</v>
      </c>
      <c r="W266" s="111">
        <f t="shared" si="80"/>
        <v>7024</v>
      </c>
      <c r="X266" s="36" t="s">
        <v>452</v>
      </c>
      <c r="Y266" t="s">
        <v>25</v>
      </c>
      <c r="AH266" s="97" t="s">
        <v>3625</v>
      </c>
      <c r="AI266" s="97" t="s">
        <v>180</v>
      </c>
      <c r="AJ266" s="97" t="s">
        <v>267</v>
      </c>
      <c r="AK266" s="97" t="s">
        <v>4042</v>
      </c>
      <c r="AL266" s="97" t="s">
        <v>4034</v>
      </c>
      <c r="AM266" s="97" t="s">
        <v>282</v>
      </c>
      <c r="AN266" s="97" t="s">
        <v>4270</v>
      </c>
    </row>
    <row r="267" spans="7:45" ht="45">
      <c r="G267" s="210"/>
      <c r="H267" s="1"/>
      <c r="Q267" s="97" t="s">
        <v>4969</v>
      </c>
      <c r="R267" s="93">
        <v>150000</v>
      </c>
      <c r="T267" s="210" t="s">
        <v>5099</v>
      </c>
      <c r="U267" s="210">
        <v>9191</v>
      </c>
      <c r="V267" s="111">
        <v>440.24630000000002</v>
      </c>
      <c r="W267" s="111">
        <f t="shared" si="80"/>
        <v>4046303.7433000002</v>
      </c>
      <c r="X267" s="36" t="s">
        <v>5100</v>
      </c>
      <c r="AH267" s="97">
        <v>1</v>
      </c>
      <c r="AI267" s="97" t="s">
        <v>3933</v>
      </c>
      <c r="AJ267" s="115">
        <v>3555820</v>
      </c>
      <c r="AK267" s="97">
        <v>2</v>
      </c>
      <c r="AL267" s="97">
        <f>AK267+AL268</f>
        <v>801</v>
      </c>
      <c r="AM267" s="97">
        <f>AJ267*AL267</f>
        <v>2848211820</v>
      </c>
      <c r="AN267" s="97" t="s">
        <v>4288</v>
      </c>
      <c r="AS267" t="s">
        <v>25</v>
      </c>
    </row>
    <row r="268" spans="7:45">
      <c r="G268" s="210"/>
      <c r="H268" s="1"/>
      <c r="Q268" s="97" t="s">
        <v>4997</v>
      </c>
      <c r="R268" s="93">
        <v>-144950</v>
      </c>
      <c r="T268" s="210" t="s">
        <v>5102</v>
      </c>
      <c r="U268" s="210">
        <v>-8792</v>
      </c>
      <c r="V268" s="111">
        <v>441.90665999999999</v>
      </c>
      <c r="W268" s="111">
        <f t="shared" si="80"/>
        <v>-3885243.3547199997</v>
      </c>
      <c r="X268" s="36" t="s">
        <v>5103</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5023</v>
      </c>
      <c r="R269" s="93">
        <v>320000</v>
      </c>
      <c r="T269" s="187" t="s">
        <v>5106</v>
      </c>
      <c r="U269" s="187">
        <v>24374</v>
      </c>
      <c r="V269" s="186">
        <v>471.81700000000001</v>
      </c>
      <c r="W269" s="186">
        <f t="shared" si="80"/>
        <v>11500067.558</v>
      </c>
      <c r="X269" s="275" t="s">
        <v>5109</v>
      </c>
      <c r="AH269" s="97">
        <v>3</v>
      </c>
      <c r="AI269" s="97" t="s">
        <v>4114</v>
      </c>
      <c r="AJ269" s="115">
        <v>150000</v>
      </c>
      <c r="AK269" s="97">
        <v>3</v>
      </c>
      <c r="AL269" s="97">
        <f t="shared" si="81"/>
        <v>748</v>
      </c>
      <c r="AM269" s="97">
        <f t="shared" si="82"/>
        <v>112200000</v>
      </c>
      <c r="AN269" s="97"/>
    </row>
    <row r="270" spans="7:45">
      <c r="G270" s="210" t="s">
        <v>6</v>
      </c>
      <c r="H270" s="1">
        <f>SUM(H201:H269)</f>
        <v>977854345.35695505</v>
      </c>
      <c r="Q270" s="97" t="s">
        <v>5027</v>
      </c>
      <c r="R270" s="93">
        <v>500000</v>
      </c>
      <c r="S270" t="s">
        <v>25</v>
      </c>
      <c r="T270" s="210" t="s">
        <v>5111</v>
      </c>
      <c r="U270" s="210">
        <v>530</v>
      </c>
      <c r="V270" s="111">
        <v>472</v>
      </c>
      <c r="W270" s="111">
        <f t="shared" si="80"/>
        <v>250160</v>
      </c>
      <c r="X270" s="36" t="s">
        <v>744</v>
      </c>
      <c r="AH270" s="97">
        <v>4</v>
      </c>
      <c r="AI270" s="97" t="s">
        <v>4129</v>
      </c>
      <c r="AJ270" s="115">
        <v>-95000</v>
      </c>
      <c r="AK270" s="97">
        <v>8</v>
      </c>
      <c r="AL270" s="97">
        <f t="shared" si="81"/>
        <v>745</v>
      </c>
      <c r="AM270" s="97">
        <f t="shared" si="82"/>
        <v>-70775000</v>
      </c>
      <c r="AN270" s="97"/>
    </row>
    <row r="271" spans="7:45" ht="30">
      <c r="G271" s="321"/>
      <c r="H271" s="1"/>
      <c r="Q271" s="97" t="s">
        <v>5072</v>
      </c>
      <c r="R271" s="93">
        <v>400000</v>
      </c>
      <c r="S271" t="s">
        <v>25</v>
      </c>
      <c r="T271" s="210" t="s">
        <v>5111</v>
      </c>
      <c r="U271" s="210">
        <v>12</v>
      </c>
      <c r="V271" s="111">
        <v>481.86</v>
      </c>
      <c r="W271" s="111">
        <f t="shared" si="80"/>
        <v>5782.32</v>
      </c>
      <c r="X271" s="36" t="s">
        <v>5113</v>
      </c>
      <c r="AH271" s="97">
        <v>5</v>
      </c>
      <c r="AI271" s="97" t="s">
        <v>4154</v>
      </c>
      <c r="AJ271" s="115">
        <v>3150000</v>
      </c>
      <c r="AK271" s="97">
        <v>16</v>
      </c>
      <c r="AL271" s="97">
        <f t="shared" si="81"/>
        <v>737</v>
      </c>
      <c r="AM271" s="97">
        <f t="shared" si="82"/>
        <v>2321550000</v>
      </c>
      <c r="AN271" s="97"/>
      <c r="AR271" t="s">
        <v>25</v>
      </c>
    </row>
    <row r="272" spans="7:45">
      <c r="Q272" s="97" t="s">
        <v>5075</v>
      </c>
      <c r="R272" s="93">
        <v>50000</v>
      </c>
      <c r="S272" t="s">
        <v>25</v>
      </c>
      <c r="T272" s="187" t="s">
        <v>5136</v>
      </c>
      <c r="U272" s="187">
        <v>12330</v>
      </c>
      <c r="V272" s="186">
        <v>486.63443869999998</v>
      </c>
      <c r="W272" s="186">
        <f t="shared" si="80"/>
        <v>6000202.6291709999</v>
      </c>
      <c r="X272" s="275" t="s">
        <v>5109</v>
      </c>
      <c r="AH272" s="97">
        <v>6</v>
      </c>
      <c r="AI272" s="97" t="s">
        <v>4219</v>
      </c>
      <c r="AJ272" s="115">
        <v>-65000</v>
      </c>
      <c r="AK272" s="97">
        <v>1</v>
      </c>
      <c r="AL272" s="97">
        <f t="shared" si="81"/>
        <v>721</v>
      </c>
      <c r="AM272" s="97">
        <f t="shared" si="82"/>
        <v>-46865000</v>
      </c>
      <c r="AN272" s="97"/>
    </row>
    <row r="273" spans="7:40">
      <c r="Q273" s="97" t="s">
        <v>5085</v>
      </c>
      <c r="R273" s="93">
        <v>300000</v>
      </c>
      <c r="T273" s="210" t="s">
        <v>5138</v>
      </c>
      <c r="U273" s="210">
        <v>846</v>
      </c>
      <c r="V273" s="111">
        <v>472.7</v>
      </c>
      <c r="W273" s="111">
        <f t="shared" si="80"/>
        <v>399904.2</v>
      </c>
      <c r="X273" s="36" t="s">
        <v>452</v>
      </c>
      <c r="AH273" s="97">
        <v>7</v>
      </c>
      <c r="AI273" s="97" t="s">
        <v>4290</v>
      </c>
      <c r="AJ273" s="115">
        <v>-95000</v>
      </c>
      <c r="AK273" s="97">
        <v>6</v>
      </c>
      <c r="AL273" s="97">
        <f t="shared" si="81"/>
        <v>720</v>
      </c>
      <c r="AM273" s="97">
        <f t="shared" si="82"/>
        <v>-68400000</v>
      </c>
      <c r="AN273" s="97"/>
    </row>
    <row r="274" spans="7:40">
      <c r="G274" s="94"/>
      <c r="H274" s="9" t="s">
        <v>452</v>
      </c>
      <c r="Q274" s="97" t="s">
        <v>5111</v>
      </c>
      <c r="R274" s="93">
        <v>250000</v>
      </c>
      <c r="T274" s="187" t="s">
        <v>5138</v>
      </c>
      <c r="U274" s="187">
        <v>3173</v>
      </c>
      <c r="V274" s="186">
        <v>472.7</v>
      </c>
      <c r="W274" s="186">
        <f t="shared" si="80"/>
        <v>1499877.0999999999</v>
      </c>
      <c r="X274" s="275" t="s">
        <v>5267</v>
      </c>
      <c r="AH274" s="97">
        <v>8</v>
      </c>
      <c r="AI274" s="97" t="s">
        <v>4291</v>
      </c>
      <c r="AJ274" s="115">
        <v>232000</v>
      </c>
      <c r="AK274" s="97">
        <v>7</v>
      </c>
      <c r="AL274" s="97">
        <f t="shared" si="81"/>
        <v>714</v>
      </c>
      <c r="AM274" s="97">
        <f t="shared" si="82"/>
        <v>165648000</v>
      </c>
      <c r="AN274" s="97"/>
    </row>
    <row r="275" spans="7:40">
      <c r="G275" s="94"/>
      <c r="H275" s="9" t="s">
        <v>744</v>
      </c>
      <c r="Q275" s="97" t="s">
        <v>5146</v>
      </c>
      <c r="R275" s="93">
        <v>200000</v>
      </c>
      <c r="T275" s="210" t="s">
        <v>5142</v>
      </c>
      <c r="U275" s="210">
        <v>191</v>
      </c>
      <c r="V275" s="111">
        <v>484.572</v>
      </c>
      <c r="W275" s="111">
        <f t="shared" si="80"/>
        <v>92553.252000000008</v>
      </c>
      <c r="X275" s="36" t="s">
        <v>5143</v>
      </c>
      <c r="AH275" s="97">
        <v>9</v>
      </c>
      <c r="AI275" s="97" t="s">
        <v>4269</v>
      </c>
      <c r="AJ275" s="115">
        <v>13000000</v>
      </c>
      <c r="AK275" s="97">
        <v>2</v>
      </c>
      <c r="AL275" s="97">
        <f t="shared" si="81"/>
        <v>707</v>
      </c>
      <c r="AM275" s="97">
        <f t="shared" si="82"/>
        <v>9191000000</v>
      </c>
      <c r="AN275" s="97"/>
    </row>
    <row r="276" spans="7:40">
      <c r="G276" s="94"/>
      <c r="H276" s="9" t="s">
        <v>5487</v>
      </c>
      <c r="O276" t="s">
        <v>25</v>
      </c>
      <c r="Q276" s="97" t="s">
        <v>5179</v>
      </c>
      <c r="R276" s="93">
        <v>122000</v>
      </c>
      <c r="T276" s="210" t="s">
        <v>5142</v>
      </c>
      <c r="U276" s="210">
        <v>-206</v>
      </c>
      <c r="V276" s="111">
        <v>484.572</v>
      </c>
      <c r="W276" s="111">
        <f t="shared" si="80"/>
        <v>-99821.831999999995</v>
      </c>
      <c r="X276" s="36" t="s">
        <v>5145</v>
      </c>
      <c r="AH276" s="97">
        <v>10</v>
      </c>
      <c r="AI276" s="97" t="s">
        <v>4292</v>
      </c>
      <c r="AJ276" s="115">
        <v>10000000</v>
      </c>
      <c r="AK276" s="97">
        <v>3</v>
      </c>
      <c r="AL276" s="97">
        <f t="shared" si="81"/>
        <v>705</v>
      </c>
      <c r="AM276" s="97">
        <f t="shared" si="82"/>
        <v>7050000000</v>
      </c>
      <c r="AN276" s="97"/>
    </row>
    <row r="277" spans="7:40">
      <c r="G277" s="94"/>
      <c r="H277" s="9" t="s">
        <v>1071</v>
      </c>
      <c r="Q277" s="97" t="s">
        <v>5187</v>
      </c>
      <c r="R277" s="93">
        <v>200000</v>
      </c>
      <c r="S277" t="s">
        <v>25</v>
      </c>
      <c r="T277" s="210" t="s">
        <v>5146</v>
      </c>
      <c r="U277" s="210">
        <v>20685</v>
      </c>
      <c r="V277" s="111">
        <v>483.43312200000003</v>
      </c>
      <c r="W277" s="111">
        <f t="shared" si="80"/>
        <v>9999814.1285699997</v>
      </c>
      <c r="X277" s="36" t="s">
        <v>5148</v>
      </c>
      <c r="AH277" s="97">
        <v>11</v>
      </c>
      <c r="AI277" s="97" t="s">
        <v>4281</v>
      </c>
      <c r="AJ277" s="115">
        <v>3400000</v>
      </c>
      <c r="AK277" s="97">
        <v>9</v>
      </c>
      <c r="AL277" s="97">
        <f t="shared" si="81"/>
        <v>702</v>
      </c>
      <c r="AM277" s="97">
        <f t="shared" si="82"/>
        <v>2386800000</v>
      </c>
      <c r="AN277" s="97"/>
    </row>
    <row r="278" spans="7:40">
      <c r="H278" s="9" t="s">
        <v>5411</v>
      </c>
      <c r="Q278" s="97" t="s">
        <v>5197</v>
      </c>
      <c r="R278" s="93">
        <v>60000</v>
      </c>
      <c r="T278" s="210" t="s">
        <v>5146</v>
      </c>
      <c r="U278" s="210">
        <v>-413</v>
      </c>
      <c r="V278" s="111">
        <v>483.40199999999999</v>
      </c>
      <c r="W278" s="111">
        <f t="shared" si="80"/>
        <v>-199645.02599999998</v>
      </c>
      <c r="X278" s="36" t="s">
        <v>4411</v>
      </c>
      <c r="AH278" s="97">
        <v>12</v>
      </c>
      <c r="AI278" s="97" t="s">
        <v>4318</v>
      </c>
      <c r="AJ278" s="115">
        <v>-8736514</v>
      </c>
      <c r="AK278" s="97">
        <v>1</v>
      </c>
      <c r="AL278" s="97">
        <f>AK278+AL279</f>
        <v>693</v>
      </c>
      <c r="AM278" s="97">
        <f t="shared" si="82"/>
        <v>-6054404202</v>
      </c>
      <c r="AN278" s="97"/>
    </row>
    <row r="279" spans="7:40">
      <c r="H279" s="9" t="s">
        <v>5611</v>
      </c>
      <c r="Q279" s="97" t="s">
        <v>5257</v>
      </c>
      <c r="R279" s="93">
        <v>-200000</v>
      </c>
      <c r="S279" t="s">
        <v>25</v>
      </c>
      <c r="T279" s="210" t="s">
        <v>5146</v>
      </c>
      <c r="U279" s="210">
        <v>413</v>
      </c>
      <c r="V279" s="111">
        <v>483.40199999999999</v>
      </c>
      <c r="W279" s="111">
        <f t="shared" si="80"/>
        <v>199645.02599999998</v>
      </c>
      <c r="X279" s="36" t="s">
        <v>744</v>
      </c>
      <c r="AH279" s="97">
        <v>13</v>
      </c>
      <c r="AI279" s="97" t="s">
        <v>4319</v>
      </c>
      <c r="AJ279" s="115">
        <v>555000</v>
      </c>
      <c r="AK279" s="97">
        <v>5</v>
      </c>
      <c r="AL279" s="97">
        <f t="shared" ref="AL279:AL295" si="83">AK279+AL280</f>
        <v>692</v>
      </c>
      <c r="AM279" s="97">
        <f t="shared" si="82"/>
        <v>384060000</v>
      </c>
      <c r="AN279" s="97"/>
    </row>
    <row r="280" spans="7:40">
      <c r="H280" s="324" t="s">
        <v>5612</v>
      </c>
      <c r="Q280" s="97" t="s">
        <v>5330</v>
      </c>
      <c r="R280" s="93">
        <v>-9000000</v>
      </c>
      <c r="T280" s="210" t="s">
        <v>5151</v>
      </c>
      <c r="U280" s="210">
        <v>-828</v>
      </c>
      <c r="V280" s="111">
        <v>483.43312200000003</v>
      </c>
      <c r="W280" s="111">
        <f t="shared" si="80"/>
        <v>-400282.62501600001</v>
      </c>
      <c r="X280" s="36" t="s">
        <v>452</v>
      </c>
      <c r="AH280" s="97">
        <v>14</v>
      </c>
      <c r="AI280" s="97" t="s">
        <v>4343</v>
      </c>
      <c r="AJ280" s="115">
        <v>-448308</v>
      </c>
      <c r="AK280" s="97">
        <v>6</v>
      </c>
      <c r="AL280" s="97">
        <f t="shared" si="83"/>
        <v>687</v>
      </c>
      <c r="AM280" s="97">
        <f t="shared" si="82"/>
        <v>-307987596</v>
      </c>
      <c r="AN280" s="97"/>
    </row>
    <row r="281" spans="7:40">
      <c r="H281" s="324" t="s">
        <v>744</v>
      </c>
      <c r="Q281" s="97" t="s">
        <v>5394</v>
      </c>
      <c r="R281" s="93">
        <v>-26000000</v>
      </c>
      <c r="T281" s="210" t="s">
        <v>5154</v>
      </c>
      <c r="U281" s="210">
        <v>12</v>
      </c>
      <c r="V281" s="111">
        <v>473.61898300000001</v>
      </c>
      <c r="W281" s="111">
        <f t="shared" si="80"/>
        <v>5683.4277959999999</v>
      </c>
      <c r="X281" s="36" t="s">
        <v>452</v>
      </c>
      <c r="Y281" t="s">
        <v>25</v>
      </c>
      <c r="AH281" s="97">
        <v>15</v>
      </c>
      <c r="AI281" s="97" t="s">
        <v>4370</v>
      </c>
      <c r="AJ281" s="115">
        <v>33225</v>
      </c>
      <c r="AK281" s="97">
        <v>0</v>
      </c>
      <c r="AL281" s="97">
        <f t="shared" si="83"/>
        <v>681</v>
      </c>
      <c r="AM281" s="97">
        <f t="shared" si="82"/>
        <v>22626225</v>
      </c>
      <c r="AN281" s="97"/>
    </row>
    <row r="282" spans="7:40">
      <c r="H282" s="9" t="s">
        <v>5613</v>
      </c>
      <c r="Q282" s="97" t="s">
        <v>5399</v>
      </c>
      <c r="R282" s="93">
        <v>-95900000</v>
      </c>
      <c r="T282" s="210" t="s">
        <v>5157</v>
      </c>
      <c r="U282" s="210">
        <v>963</v>
      </c>
      <c r="V282" s="111">
        <v>477.92200000000003</v>
      </c>
      <c r="W282" s="111">
        <f t="shared" si="80"/>
        <v>460238.886</v>
      </c>
      <c r="X282" s="36" t="s">
        <v>452</v>
      </c>
      <c r="AH282" s="147">
        <v>16</v>
      </c>
      <c r="AI282" s="147" t="s">
        <v>4370</v>
      </c>
      <c r="AJ282" s="186">
        <v>4098523</v>
      </c>
      <c r="AK282" s="147">
        <v>2</v>
      </c>
      <c r="AL282" s="147">
        <f t="shared" si="83"/>
        <v>681</v>
      </c>
      <c r="AM282" s="147">
        <f t="shared" si="82"/>
        <v>2791094163</v>
      </c>
      <c r="AN282" s="147" t="s">
        <v>650</v>
      </c>
    </row>
    <row r="283" spans="7:40">
      <c r="H283" s="9" t="s">
        <v>5614</v>
      </c>
      <c r="Q283" s="97" t="s">
        <v>5400</v>
      </c>
      <c r="R283" s="93">
        <v>-28950000</v>
      </c>
      <c r="S283" t="s">
        <v>25</v>
      </c>
      <c r="T283" s="210" t="s">
        <v>5158</v>
      </c>
      <c r="U283" s="210">
        <v>2815</v>
      </c>
      <c r="V283" s="111">
        <v>461.79</v>
      </c>
      <c r="W283" s="111">
        <f t="shared" si="80"/>
        <v>1299938.8500000001</v>
      </c>
      <c r="X283" s="36" t="s">
        <v>452</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5577</v>
      </c>
      <c r="R284" s="93">
        <v>-93000000</v>
      </c>
      <c r="S284" t="s">
        <v>25</v>
      </c>
      <c r="T284" s="210" t="s">
        <v>5158</v>
      </c>
      <c r="U284" s="210">
        <v>1581</v>
      </c>
      <c r="V284" s="111">
        <v>461.79</v>
      </c>
      <c r="W284" s="111">
        <f t="shared" si="80"/>
        <v>730089.99</v>
      </c>
      <c r="X284" s="36" t="s">
        <v>452</v>
      </c>
      <c r="AH284" s="147">
        <v>18</v>
      </c>
      <c r="AI284" s="147" t="s">
        <v>4401</v>
      </c>
      <c r="AJ284" s="186">
        <v>750000</v>
      </c>
      <c r="AK284" s="147">
        <v>1</v>
      </c>
      <c r="AL284" s="147">
        <f t="shared" si="83"/>
        <v>672</v>
      </c>
      <c r="AM284" s="147">
        <f t="shared" si="82"/>
        <v>504000000</v>
      </c>
      <c r="AN284" s="147" t="s">
        <v>650</v>
      </c>
    </row>
    <row r="285" spans="7:40">
      <c r="H285" s="324"/>
      <c r="Q285" s="97" t="s">
        <v>5589</v>
      </c>
      <c r="R285" s="93">
        <v>50000000</v>
      </c>
      <c r="T285" s="187" t="s">
        <v>5165</v>
      </c>
      <c r="U285" s="187">
        <v>1916</v>
      </c>
      <c r="V285" s="186">
        <v>521.70000000000005</v>
      </c>
      <c r="W285" s="186">
        <f t="shared" si="80"/>
        <v>999577.20000000007</v>
      </c>
      <c r="X285" s="275" t="s">
        <v>5267</v>
      </c>
      <c r="AH285" s="193">
        <v>19</v>
      </c>
      <c r="AI285" s="193" t="s">
        <v>4402</v>
      </c>
      <c r="AJ285" s="194">
        <v>-604152</v>
      </c>
      <c r="AK285" s="193">
        <v>0</v>
      </c>
      <c r="AL285" s="193">
        <f t="shared" si="83"/>
        <v>671</v>
      </c>
      <c r="AM285" s="193">
        <f t="shared" si="82"/>
        <v>-405385992</v>
      </c>
      <c r="AN285" s="193" t="s">
        <v>650</v>
      </c>
    </row>
    <row r="286" spans="7:40">
      <c r="Q286" s="97" t="s">
        <v>4214</v>
      </c>
      <c r="R286" s="93">
        <v>2749471.1668000002</v>
      </c>
      <c r="T286" s="210" t="s">
        <v>977</v>
      </c>
      <c r="U286" s="210">
        <v>41</v>
      </c>
      <c r="V286" s="111">
        <v>514.48099999999999</v>
      </c>
      <c r="W286" s="111">
        <f t="shared" si="80"/>
        <v>21093.721000000001</v>
      </c>
      <c r="X286" s="36" t="s">
        <v>5143</v>
      </c>
      <c r="AH286" s="97">
        <v>20</v>
      </c>
      <c r="AI286" s="97" t="s">
        <v>4403</v>
      </c>
      <c r="AJ286" s="115">
        <v>-587083</v>
      </c>
      <c r="AK286" s="97">
        <v>4</v>
      </c>
      <c r="AL286" s="97">
        <f t="shared" si="83"/>
        <v>671</v>
      </c>
      <c r="AM286" s="97">
        <f t="shared" si="82"/>
        <v>-393932693</v>
      </c>
      <c r="AN286" s="97"/>
    </row>
    <row r="287" spans="7:40">
      <c r="Q287" s="97" t="s">
        <v>5690</v>
      </c>
      <c r="R287" s="93">
        <v>-680940.07019999996</v>
      </c>
      <c r="T287" s="210" t="s">
        <v>4258</v>
      </c>
      <c r="U287" s="210">
        <v>71</v>
      </c>
      <c r="V287" s="111">
        <v>482.57</v>
      </c>
      <c r="W287" s="111">
        <f t="shared" si="80"/>
        <v>34262.47</v>
      </c>
      <c r="X287" s="36" t="s">
        <v>5143</v>
      </c>
      <c r="Y287" t="s">
        <v>25</v>
      </c>
      <c r="AH287" s="193">
        <v>21</v>
      </c>
      <c r="AI287" s="193" t="s">
        <v>4404</v>
      </c>
      <c r="AJ287" s="194">
        <v>-754351</v>
      </c>
      <c r="AK287" s="193">
        <v>0</v>
      </c>
      <c r="AL287" s="147">
        <f t="shared" si="83"/>
        <v>667</v>
      </c>
      <c r="AM287" s="193">
        <f t="shared" si="82"/>
        <v>-503152117</v>
      </c>
      <c r="AN287" s="193" t="s">
        <v>650</v>
      </c>
    </row>
    <row r="288" spans="7:40">
      <c r="Q288" s="97" t="s">
        <v>5690</v>
      </c>
      <c r="R288" s="93">
        <v>-48684800.338199995</v>
      </c>
      <c r="T288" s="210" t="s">
        <v>5179</v>
      </c>
      <c r="U288" s="210">
        <v>-250</v>
      </c>
      <c r="V288" s="111">
        <v>487.125</v>
      </c>
      <c r="W288" s="111">
        <f t="shared" si="80"/>
        <v>-121781.25</v>
      </c>
      <c r="X288" s="36" t="s">
        <v>4411</v>
      </c>
      <c r="AH288" s="97">
        <v>22</v>
      </c>
      <c r="AI288" s="97" t="s">
        <v>4404</v>
      </c>
      <c r="AJ288" s="115">
        <v>-189619</v>
      </c>
      <c r="AK288" s="97">
        <v>15</v>
      </c>
      <c r="AL288" s="97">
        <f t="shared" si="83"/>
        <v>667</v>
      </c>
      <c r="AM288" s="97">
        <f t="shared" si="82"/>
        <v>-126475873</v>
      </c>
      <c r="AN288" s="97"/>
    </row>
    <row r="289" spans="15:44">
      <c r="Q289" s="97" t="s">
        <v>5714</v>
      </c>
      <c r="R289" s="93">
        <v>1500000</v>
      </c>
      <c r="S289" t="s">
        <v>25</v>
      </c>
      <c r="T289" s="210" t="s">
        <v>5179</v>
      </c>
      <c r="U289" s="210">
        <v>250</v>
      </c>
      <c r="V289" s="111">
        <v>487.125</v>
      </c>
      <c r="W289" s="111">
        <f t="shared" si="80"/>
        <v>121781.25</v>
      </c>
      <c r="X289" s="36" t="s">
        <v>744</v>
      </c>
      <c r="AH289" s="193">
        <v>23</v>
      </c>
      <c r="AI289" s="193" t="s">
        <v>4468</v>
      </c>
      <c r="AJ289" s="186">
        <v>7100</v>
      </c>
      <c r="AK289" s="193">
        <v>0</v>
      </c>
      <c r="AL289" s="147">
        <f t="shared" si="83"/>
        <v>652</v>
      </c>
      <c r="AM289" s="193">
        <f t="shared" si="82"/>
        <v>4629200</v>
      </c>
      <c r="AN289" s="193" t="s">
        <v>650</v>
      </c>
    </row>
    <row r="290" spans="15:44">
      <c r="Q290" s="97"/>
      <c r="R290" s="93"/>
      <c r="T290" s="210" t="s">
        <v>5187</v>
      </c>
      <c r="U290" s="210">
        <v>-1439</v>
      </c>
      <c r="V290" s="111">
        <v>486.53068999999999</v>
      </c>
      <c r="W290" s="111">
        <f t="shared" si="80"/>
        <v>-700117.66290999996</v>
      </c>
      <c r="X290" s="36" t="s">
        <v>4411</v>
      </c>
      <c r="AH290" s="20">
        <v>24</v>
      </c>
      <c r="AI290" s="20" t="s">
        <v>4468</v>
      </c>
      <c r="AJ290" s="115">
        <v>-147902</v>
      </c>
      <c r="AK290" s="20">
        <v>3</v>
      </c>
      <c r="AL290" s="97">
        <f t="shared" si="83"/>
        <v>652</v>
      </c>
      <c r="AM290" s="20">
        <f t="shared" si="82"/>
        <v>-96432104</v>
      </c>
      <c r="AN290" s="20"/>
    </row>
    <row r="291" spans="15:44">
      <c r="Q291" s="97"/>
      <c r="R291" s="93"/>
      <c r="T291" s="210" t="s">
        <v>5187</v>
      </c>
      <c r="U291" s="210">
        <v>411</v>
      </c>
      <c r="V291" s="111">
        <v>486.53068999999999</v>
      </c>
      <c r="W291" s="111">
        <f t="shared" si="80"/>
        <v>199964.11358999999</v>
      </c>
      <c r="X291" s="36" t="s">
        <v>744</v>
      </c>
      <c r="AH291" s="147">
        <v>25</v>
      </c>
      <c r="AI291" s="147" t="s">
        <v>4476</v>
      </c>
      <c r="AJ291" s="186">
        <v>-37200</v>
      </c>
      <c r="AK291" s="147">
        <v>4</v>
      </c>
      <c r="AL291" s="147">
        <f t="shared" si="83"/>
        <v>649</v>
      </c>
      <c r="AM291" s="193">
        <f t="shared" si="82"/>
        <v>-24142800</v>
      </c>
      <c r="AN291" s="147" t="s">
        <v>650</v>
      </c>
    </row>
    <row r="292" spans="15:44">
      <c r="O292" t="s">
        <v>25</v>
      </c>
      <c r="Q292" s="97"/>
      <c r="R292" s="93">
        <f>SUM(R240:R291)</f>
        <v>188817555.75839999</v>
      </c>
      <c r="S292" t="s">
        <v>25</v>
      </c>
      <c r="T292" s="210" t="s">
        <v>5156</v>
      </c>
      <c r="U292" s="210">
        <v>-4290</v>
      </c>
      <c r="V292" s="111">
        <v>497.57670000000002</v>
      </c>
      <c r="W292" s="111">
        <f t="shared" si="80"/>
        <v>-2134604.0430000001</v>
      </c>
      <c r="X292" s="36" t="s">
        <v>452</v>
      </c>
      <c r="AH292" s="97">
        <v>26</v>
      </c>
      <c r="AI292" s="97" t="s">
        <v>4506</v>
      </c>
      <c r="AJ292" s="115">
        <v>-372326</v>
      </c>
      <c r="AK292" s="97">
        <v>21</v>
      </c>
      <c r="AL292" s="97">
        <f t="shared" si="83"/>
        <v>645</v>
      </c>
      <c r="AM292" s="20">
        <f t="shared" si="82"/>
        <v>-240150270</v>
      </c>
      <c r="AN292" s="97"/>
    </row>
    <row r="293" spans="15:44">
      <c r="Q293" s="97"/>
      <c r="R293" s="97" t="s">
        <v>6</v>
      </c>
      <c r="S293" t="s">
        <v>25</v>
      </c>
      <c r="T293" s="210" t="s">
        <v>5194</v>
      </c>
      <c r="U293" s="210">
        <v>-644</v>
      </c>
      <c r="V293" s="111">
        <v>494.76464499999997</v>
      </c>
      <c r="W293" s="111">
        <f t="shared" si="80"/>
        <v>-318628.43137999997</v>
      </c>
      <c r="X293" s="36" t="s">
        <v>452</v>
      </c>
      <c r="AH293" s="97">
        <v>27</v>
      </c>
      <c r="AI293" s="97" t="s">
        <v>4553</v>
      </c>
      <c r="AJ293" s="115">
        <v>235062</v>
      </c>
      <c r="AK293" s="97">
        <v>0</v>
      </c>
      <c r="AL293" s="97">
        <f t="shared" si="83"/>
        <v>624</v>
      </c>
      <c r="AM293" s="20">
        <f t="shared" si="82"/>
        <v>146678688</v>
      </c>
      <c r="AN293" s="97"/>
    </row>
    <row r="294" spans="15:44">
      <c r="P294" t="s">
        <v>25</v>
      </c>
      <c r="R294" t="s">
        <v>25</v>
      </c>
      <c r="T294" s="210" t="s">
        <v>5197</v>
      </c>
      <c r="U294" s="210">
        <v>-112</v>
      </c>
      <c r="V294" s="111">
        <v>485.78</v>
      </c>
      <c r="W294" s="111">
        <f t="shared" si="80"/>
        <v>-54407.360000000001</v>
      </c>
      <c r="X294" s="36" t="s">
        <v>452</v>
      </c>
      <c r="AH294" s="147">
        <v>28</v>
      </c>
      <c r="AI294" s="147" t="s">
        <v>4553</v>
      </c>
      <c r="AJ294" s="186">
        <v>235062</v>
      </c>
      <c r="AK294" s="147">
        <v>9</v>
      </c>
      <c r="AL294" s="97">
        <f t="shared" si="83"/>
        <v>624</v>
      </c>
      <c r="AM294" s="147">
        <f t="shared" si="82"/>
        <v>146678688</v>
      </c>
      <c r="AN294" s="147" t="s">
        <v>650</v>
      </c>
    </row>
    <row r="295" spans="15:44">
      <c r="T295" s="210" t="s">
        <v>5197</v>
      </c>
      <c r="U295" s="210">
        <v>123</v>
      </c>
      <c r="V295" s="111">
        <v>485.78</v>
      </c>
      <c r="W295" s="111">
        <f t="shared" si="80"/>
        <v>59750.939999999995</v>
      </c>
      <c r="X295" s="36" t="s">
        <v>744</v>
      </c>
      <c r="Z295" t="s">
        <v>25</v>
      </c>
      <c r="AH295" s="147">
        <v>29</v>
      </c>
      <c r="AI295" s="147" t="s">
        <v>4572</v>
      </c>
      <c r="AJ295" s="186">
        <v>450000</v>
      </c>
      <c r="AK295" s="147">
        <v>0</v>
      </c>
      <c r="AL295" s="97">
        <f t="shared" si="83"/>
        <v>615</v>
      </c>
      <c r="AM295" s="147">
        <f t="shared" si="82"/>
        <v>276750000</v>
      </c>
      <c r="AN295" s="147" t="s">
        <v>650</v>
      </c>
    </row>
    <row r="296" spans="15:44">
      <c r="Q296" s="97" t="s">
        <v>452</v>
      </c>
      <c r="R296" s="97"/>
      <c r="T296" s="210" t="s">
        <v>5197</v>
      </c>
      <c r="U296" s="210">
        <v>-123</v>
      </c>
      <c r="V296" s="111">
        <v>485.78</v>
      </c>
      <c r="W296" s="111">
        <f t="shared" si="80"/>
        <v>-59750.939999999995</v>
      </c>
      <c r="X296" s="36" t="s">
        <v>4411</v>
      </c>
      <c r="AH296" s="20">
        <v>30</v>
      </c>
      <c r="AI296" s="20" t="s">
        <v>4572</v>
      </c>
      <c r="AJ296" s="115">
        <v>450000</v>
      </c>
      <c r="AK296" s="20">
        <v>22</v>
      </c>
      <c r="AL296" s="97">
        <f>AK296+AL297</f>
        <v>615</v>
      </c>
      <c r="AM296" s="20">
        <f t="shared" si="82"/>
        <v>276750000</v>
      </c>
      <c r="AN296" s="20"/>
    </row>
    <row r="297" spans="15:44">
      <c r="Q297" s="97" t="s">
        <v>4404</v>
      </c>
      <c r="R297" s="93">
        <v>63115000</v>
      </c>
      <c r="T297" s="210" t="s">
        <v>5241</v>
      </c>
      <c r="U297" s="210">
        <v>32367</v>
      </c>
      <c r="V297" s="111">
        <v>556.12900000000002</v>
      </c>
      <c r="W297" s="111">
        <f t="shared" si="80"/>
        <v>18000227.343000002</v>
      </c>
      <c r="X297" s="36" t="s">
        <v>452</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4451</v>
      </c>
      <c r="R298" s="93">
        <v>13300000</v>
      </c>
      <c r="T298" s="210" t="s">
        <v>5257</v>
      </c>
      <c r="U298" s="210">
        <v>1254</v>
      </c>
      <c r="V298" s="111">
        <v>558.24400000000003</v>
      </c>
      <c r="W298" s="111">
        <f t="shared" si="80"/>
        <v>700037.97600000002</v>
      </c>
      <c r="X298" s="36" t="s">
        <v>4411</v>
      </c>
      <c r="AH298" s="119">
        <v>32</v>
      </c>
      <c r="AI298" s="119" t="s">
        <v>4638</v>
      </c>
      <c r="AJ298" s="77">
        <v>288936</v>
      </c>
      <c r="AK298" s="119">
        <v>3</v>
      </c>
      <c r="AL298" s="119">
        <f t="shared" si="84"/>
        <v>593</v>
      </c>
      <c r="AM298" s="119">
        <f t="shared" si="85"/>
        <v>171339048</v>
      </c>
      <c r="AN298" s="202" t="s">
        <v>4649</v>
      </c>
    </row>
    <row r="299" spans="15:44">
      <c r="Q299" s="97" t="s">
        <v>4459</v>
      </c>
      <c r="R299" s="93">
        <v>2269000</v>
      </c>
      <c r="T299" s="166" t="s">
        <v>5257</v>
      </c>
      <c r="U299" s="210">
        <v>-358</v>
      </c>
      <c r="V299" s="111">
        <v>558.24400000000003</v>
      </c>
      <c r="W299" s="111">
        <f t="shared" si="80"/>
        <v>-199851.35200000001</v>
      </c>
      <c r="X299" s="36" t="s">
        <v>744</v>
      </c>
      <c r="Y299" t="s">
        <v>25</v>
      </c>
      <c r="AH299" s="119">
        <v>33</v>
      </c>
      <c r="AI299" s="119" t="s">
        <v>4647</v>
      </c>
      <c r="AJ299" s="77">
        <v>17962491</v>
      </c>
      <c r="AK299" s="119">
        <v>1</v>
      </c>
      <c r="AL299" s="119">
        <f t="shared" si="84"/>
        <v>590</v>
      </c>
      <c r="AM299" s="119">
        <f t="shared" si="85"/>
        <v>10597869690</v>
      </c>
      <c r="AN299" s="119" t="s">
        <v>4654</v>
      </c>
    </row>
    <row r="300" spans="15:44">
      <c r="Q300" s="97" t="s">
        <v>4562</v>
      </c>
      <c r="R300" s="93">
        <v>25071612</v>
      </c>
      <c r="T300" s="187" t="s">
        <v>5266</v>
      </c>
      <c r="U300" s="187">
        <v>-3326</v>
      </c>
      <c r="V300" s="186">
        <v>601.39300000000003</v>
      </c>
      <c r="W300" s="186">
        <f t="shared" si="80"/>
        <v>-2000233.118</v>
      </c>
      <c r="X300" s="275" t="s">
        <v>5109</v>
      </c>
      <c r="AH300" s="119">
        <v>34</v>
      </c>
      <c r="AI300" s="119" t="s">
        <v>3668</v>
      </c>
      <c r="AJ300" s="77">
        <v>18363511</v>
      </c>
      <c r="AK300" s="119">
        <v>1</v>
      </c>
      <c r="AL300" s="119">
        <f t="shared" si="84"/>
        <v>589</v>
      </c>
      <c r="AM300" s="119">
        <f t="shared" si="85"/>
        <v>10816107979</v>
      </c>
      <c r="AN300" s="119" t="s">
        <v>4654</v>
      </c>
      <c r="AR300" t="s">
        <v>25</v>
      </c>
    </row>
    <row r="301" spans="15:44">
      <c r="Q301" s="97" t="s">
        <v>4571</v>
      </c>
      <c r="R301" s="93">
        <v>42236984</v>
      </c>
      <c r="T301" s="187" t="s">
        <v>5268</v>
      </c>
      <c r="U301" s="187">
        <v>3326</v>
      </c>
      <c r="V301" s="186">
        <v>601.39300000000003</v>
      </c>
      <c r="W301" s="186">
        <f t="shared" si="80"/>
        <v>2000233.118</v>
      </c>
      <c r="X301" s="275" t="s">
        <v>5109</v>
      </c>
      <c r="Y301" t="s">
        <v>25</v>
      </c>
      <c r="AA301" t="s">
        <v>25</v>
      </c>
      <c r="AH301" s="119">
        <v>35</v>
      </c>
      <c r="AI301" s="119" t="s">
        <v>4659</v>
      </c>
      <c r="AJ301" s="77">
        <v>23622417</v>
      </c>
      <c r="AK301" s="119">
        <v>5</v>
      </c>
      <c r="AL301" s="119">
        <f t="shared" si="84"/>
        <v>588</v>
      </c>
      <c r="AM301" s="119">
        <f t="shared" si="85"/>
        <v>13889981196</v>
      </c>
      <c r="AN301" s="119" t="s">
        <v>4661</v>
      </c>
    </row>
    <row r="302" spans="15:44">
      <c r="Q302" s="97" t="s">
        <v>4572</v>
      </c>
      <c r="R302" s="93">
        <v>19663646</v>
      </c>
      <c r="T302" s="187" t="s">
        <v>5279</v>
      </c>
      <c r="U302" s="187">
        <v>63259</v>
      </c>
      <c r="V302" s="186">
        <v>632.31960000000004</v>
      </c>
      <c r="W302" s="186">
        <f t="shared" si="80"/>
        <v>39999905.576400004</v>
      </c>
      <c r="X302" s="275" t="s">
        <v>1071</v>
      </c>
      <c r="Z302" t="s">
        <v>25</v>
      </c>
      <c r="AH302" s="119">
        <v>36</v>
      </c>
      <c r="AI302" s="119" t="s">
        <v>4674</v>
      </c>
      <c r="AJ302" s="77">
        <v>82496108</v>
      </c>
      <c r="AK302" s="119">
        <v>1</v>
      </c>
      <c r="AL302" s="119">
        <f t="shared" si="84"/>
        <v>583</v>
      </c>
      <c r="AM302" s="119">
        <f t="shared" si="85"/>
        <v>48095230964</v>
      </c>
      <c r="AN302" s="119" t="s">
        <v>4677</v>
      </c>
    </row>
    <row r="303" spans="15:44">
      <c r="Q303" s="97" t="s">
        <v>4595</v>
      </c>
      <c r="R303" s="93">
        <v>4374525</v>
      </c>
      <c r="T303" s="19" t="s">
        <v>5284</v>
      </c>
      <c r="U303" s="19">
        <v>-1278</v>
      </c>
      <c r="V303" s="115">
        <v>625.98</v>
      </c>
      <c r="W303" s="115">
        <f t="shared" si="80"/>
        <v>-800002.44000000006</v>
      </c>
      <c r="X303" s="276" t="s">
        <v>5285</v>
      </c>
      <c r="AH303" s="119">
        <v>37</v>
      </c>
      <c r="AI303" s="119" t="s">
        <v>4676</v>
      </c>
      <c r="AJ303" s="77">
        <v>74657561</v>
      </c>
      <c r="AK303" s="119">
        <v>16</v>
      </c>
      <c r="AL303" s="119">
        <f t="shared" si="84"/>
        <v>582</v>
      </c>
      <c r="AM303" s="119">
        <f t="shared" si="85"/>
        <v>43450700502</v>
      </c>
      <c r="AN303" s="119" t="s">
        <v>4682</v>
      </c>
    </row>
    <row r="304" spans="15:44">
      <c r="P304" t="s">
        <v>25</v>
      </c>
      <c r="Q304" s="97" t="s">
        <v>4606</v>
      </c>
      <c r="R304" s="93">
        <v>6550580</v>
      </c>
      <c r="T304" s="19" t="s">
        <v>5290</v>
      </c>
      <c r="U304" s="19">
        <v>32049</v>
      </c>
      <c r="V304" s="115">
        <v>624.04600000000005</v>
      </c>
      <c r="W304" s="115">
        <f t="shared" si="80"/>
        <v>20000050.254000001</v>
      </c>
      <c r="X304" s="276" t="s">
        <v>5148</v>
      </c>
      <c r="AH304" s="97">
        <v>38</v>
      </c>
      <c r="AI304" s="97" t="s">
        <v>4750</v>
      </c>
      <c r="AJ304" s="115">
        <v>665000</v>
      </c>
      <c r="AK304" s="97">
        <v>0</v>
      </c>
      <c r="AL304" s="97">
        <f t="shared" si="84"/>
        <v>566</v>
      </c>
      <c r="AM304" s="20">
        <f t="shared" si="85"/>
        <v>376390000</v>
      </c>
      <c r="AN304" s="97"/>
    </row>
    <row r="305" spans="16:40" ht="30">
      <c r="P305" t="s">
        <v>25</v>
      </c>
      <c r="Q305" s="97" t="s">
        <v>4608</v>
      </c>
      <c r="R305" s="93">
        <v>7054895</v>
      </c>
      <c r="T305" s="19" t="s">
        <v>5300</v>
      </c>
      <c r="U305" s="19">
        <v>45094</v>
      </c>
      <c r="V305" s="115">
        <v>614.13559759999998</v>
      </c>
      <c r="W305" s="115">
        <f t="shared" si="80"/>
        <v>27693830.6381744</v>
      </c>
      <c r="X305" s="276" t="s">
        <v>5302</v>
      </c>
      <c r="Y305" t="s">
        <v>25</v>
      </c>
      <c r="AH305" s="147">
        <v>39</v>
      </c>
      <c r="AI305" s="147" t="s">
        <v>4750</v>
      </c>
      <c r="AJ305" s="186">
        <v>665000</v>
      </c>
      <c r="AK305" s="147">
        <v>4</v>
      </c>
      <c r="AL305" s="193">
        <f t="shared" si="84"/>
        <v>566</v>
      </c>
      <c r="AM305" s="193">
        <f t="shared" si="85"/>
        <v>376390000</v>
      </c>
      <c r="AN305" s="193"/>
    </row>
    <row r="306" spans="16:40" ht="30">
      <c r="Q306" s="97" t="s">
        <v>4625</v>
      </c>
      <c r="R306" s="93">
        <v>2145814</v>
      </c>
      <c r="T306" s="19" t="s">
        <v>5330</v>
      </c>
      <c r="U306" s="19">
        <v>-11804</v>
      </c>
      <c r="V306" s="115">
        <v>762.46640000000002</v>
      </c>
      <c r="W306" s="115">
        <f t="shared" si="80"/>
        <v>-9000153.3856000006</v>
      </c>
      <c r="X306" s="276" t="s">
        <v>5332</v>
      </c>
      <c r="AH306" s="20">
        <v>40</v>
      </c>
      <c r="AI306" s="20" t="s">
        <v>4759</v>
      </c>
      <c r="AJ306" s="115">
        <v>2000000</v>
      </c>
      <c r="AK306" s="20">
        <v>1</v>
      </c>
      <c r="AL306" s="97">
        <f t="shared" si="84"/>
        <v>562</v>
      </c>
      <c r="AM306" s="20">
        <f t="shared" si="85"/>
        <v>1124000000</v>
      </c>
      <c r="AN306" s="97"/>
    </row>
    <row r="307" spans="16:40">
      <c r="Q307" s="97" t="s">
        <v>4636</v>
      </c>
      <c r="R307" s="93">
        <v>4369730</v>
      </c>
      <c r="T307" s="19" t="s">
        <v>5375</v>
      </c>
      <c r="U307" s="19">
        <v>844</v>
      </c>
      <c r="V307" s="115">
        <v>830</v>
      </c>
      <c r="W307" s="115">
        <f t="shared" si="80"/>
        <v>700520</v>
      </c>
      <c r="X307" s="276" t="s">
        <v>4411</v>
      </c>
      <c r="AA307" t="s">
        <v>25</v>
      </c>
      <c r="AH307" s="20">
        <v>41</v>
      </c>
      <c r="AI307" s="20" t="s">
        <v>4764</v>
      </c>
      <c r="AJ307" s="115">
        <v>-2060725</v>
      </c>
      <c r="AK307" s="20">
        <v>0</v>
      </c>
      <c r="AL307" s="97">
        <f t="shared" si="84"/>
        <v>561</v>
      </c>
      <c r="AM307" s="20">
        <f t="shared" ref="AM307:AM312" si="86">AJ307*AL307</f>
        <v>-1156066725</v>
      </c>
      <c r="AN307" s="97" t="s">
        <v>4765</v>
      </c>
    </row>
    <row r="308" spans="16:40">
      <c r="Q308" s="97" t="s">
        <v>4638</v>
      </c>
      <c r="R308" s="93">
        <v>8739459</v>
      </c>
      <c r="T308" s="19" t="s">
        <v>5379</v>
      </c>
      <c r="U308" s="19">
        <v>8662</v>
      </c>
      <c r="V308" s="115">
        <v>832.57011999999997</v>
      </c>
      <c r="W308" s="115">
        <f t="shared" si="80"/>
        <v>7211722.3794399993</v>
      </c>
      <c r="X308" s="276" t="s">
        <v>5143</v>
      </c>
      <c r="AH308" s="147">
        <v>42</v>
      </c>
      <c r="AI308" s="147" t="s">
        <v>4764</v>
      </c>
      <c r="AJ308" s="186">
        <v>-433375</v>
      </c>
      <c r="AK308" s="147">
        <v>0</v>
      </c>
      <c r="AL308" s="147">
        <f t="shared" si="84"/>
        <v>561</v>
      </c>
      <c r="AM308" s="147">
        <f t="shared" si="86"/>
        <v>-243123375</v>
      </c>
      <c r="AN308" s="147" t="s">
        <v>4766</v>
      </c>
    </row>
    <row r="309" spans="16:40" ht="30">
      <c r="Q309" s="97" t="s">
        <v>4647</v>
      </c>
      <c r="R309" s="93">
        <v>6667654</v>
      </c>
      <c r="T309" s="19" t="s">
        <v>5380</v>
      </c>
      <c r="U309" s="19">
        <v>10253</v>
      </c>
      <c r="V309" s="115">
        <v>827.2568</v>
      </c>
      <c r="W309" s="115">
        <f t="shared" si="80"/>
        <v>8481863.9704</v>
      </c>
      <c r="X309" s="276" t="s">
        <v>5387</v>
      </c>
      <c r="AH309" s="20">
        <v>43</v>
      </c>
      <c r="AI309" s="20" t="s">
        <v>4764</v>
      </c>
      <c r="AJ309" s="115">
        <v>28000000</v>
      </c>
      <c r="AK309" s="20">
        <v>1</v>
      </c>
      <c r="AL309" s="97">
        <f t="shared" si="84"/>
        <v>561</v>
      </c>
      <c r="AM309" s="20">
        <f t="shared" si="86"/>
        <v>15708000000</v>
      </c>
      <c r="AN309" s="97" t="s">
        <v>3875</v>
      </c>
    </row>
    <row r="310" spans="16:40">
      <c r="Q310" s="97" t="s">
        <v>3668</v>
      </c>
      <c r="R310" s="93">
        <v>8981245</v>
      </c>
      <c r="T310" s="242" t="s">
        <v>5388</v>
      </c>
      <c r="U310" s="242">
        <v>-33077</v>
      </c>
      <c r="V310" s="243">
        <v>786.02973999999995</v>
      </c>
      <c r="W310" s="243">
        <f t="shared" si="80"/>
        <v>-25999505.70998</v>
      </c>
      <c r="X310" s="284" t="s">
        <v>5391</v>
      </c>
      <c r="Y310" t="s">
        <v>25</v>
      </c>
      <c r="AH310" s="20">
        <v>44</v>
      </c>
      <c r="AI310" s="20" t="s">
        <v>4773</v>
      </c>
      <c r="AJ310" s="115">
        <v>160000</v>
      </c>
      <c r="AK310" s="20">
        <v>0</v>
      </c>
      <c r="AL310" s="97">
        <f t="shared" si="84"/>
        <v>560</v>
      </c>
      <c r="AM310" s="20">
        <f t="shared" si="86"/>
        <v>89600000</v>
      </c>
      <c r="AN310" s="97"/>
    </row>
    <row r="311" spans="16:40">
      <c r="Q311" s="97" t="s">
        <v>4659</v>
      </c>
      <c r="R311" s="93">
        <v>9181756</v>
      </c>
      <c r="T311" s="19" t="s">
        <v>5388</v>
      </c>
      <c r="U311" s="19">
        <v>-33077</v>
      </c>
      <c r="V311" s="115">
        <v>786.02973999999995</v>
      </c>
      <c r="W311" s="115">
        <f t="shared" si="80"/>
        <v>-25999505.70998</v>
      </c>
      <c r="X311" s="276" t="s">
        <v>5392</v>
      </c>
      <c r="Y311" t="s">
        <v>25</v>
      </c>
      <c r="Z311" t="s">
        <v>25</v>
      </c>
      <c r="AA311" t="s">
        <v>25</v>
      </c>
      <c r="AH311" s="147">
        <v>45</v>
      </c>
      <c r="AI311" s="147" t="s">
        <v>4773</v>
      </c>
      <c r="AJ311" s="186">
        <v>70000</v>
      </c>
      <c r="AK311" s="147">
        <v>9</v>
      </c>
      <c r="AL311" s="147">
        <f t="shared" si="84"/>
        <v>560</v>
      </c>
      <c r="AM311" s="147">
        <f t="shared" si="86"/>
        <v>39200000</v>
      </c>
      <c r="AN311" s="147"/>
    </row>
    <row r="312" spans="16:40">
      <c r="Q312" s="97" t="s">
        <v>4662</v>
      </c>
      <c r="R312" s="93">
        <v>11811208</v>
      </c>
      <c r="T312" s="19" t="s">
        <v>5388</v>
      </c>
      <c r="U312" s="19">
        <v>1983</v>
      </c>
      <c r="V312" s="115">
        <v>786.02973999999995</v>
      </c>
      <c r="W312" s="115">
        <f t="shared" si="80"/>
        <v>1558696.9744199999</v>
      </c>
      <c r="X312" s="276" t="s">
        <v>5143</v>
      </c>
      <c r="AH312" s="20">
        <v>46</v>
      </c>
      <c r="AI312" s="20" t="s">
        <v>4780</v>
      </c>
      <c r="AJ312" s="115">
        <v>850000</v>
      </c>
      <c r="AK312" s="20">
        <v>0</v>
      </c>
      <c r="AL312" s="97">
        <f t="shared" si="84"/>
        <v>551</v>
      </c>
      <c r="AM312" s="20">
        <f t="shared" si="86"/>
        <v>468350000</v>
      </c>
      <c r="AN312" s="97"/>
    </row>
    <row r="313" spans="16:40">
      <c r="Q313" s="97" t="s">
        <v>4676</v>
      </c>
      <c r="R313" s="93">
        <v>41248054</v>
      </c>
      <c r="T313" s="242" t="s">
        <v>5393</v>
      </c>
      <c r="U313" s="242">
        <v>-119753</v>
      </c>
      <c r="V313" s="243">
        <v>800.81560000000002</v>
      </c>
      <c r="W313" s="243">
        <f t="shared" si="80"/>
        <v>-95900070.546800002</v>
      </c>
      <c r="X313" s="284" t="s">
        <v>5391</v>
      </c>
      <c r="AH313" s="193">
        <v>47</v>
      </c>
      <c r="AI313" s="193" t="s">
        <v>4780</v>
      </c>
      <c r="AJ313" s="194">
        <v>20000</v>
      </c>
      <c r="AK313" s="193">
        <v>4</v>
      </c>
      <c r="AL313" s="193">
        <f t="shared" ref="AL313:AL321" si="87">AK313+AL314</f>
        <v>551</v>
      </c>
      <c r="AM313" s="193">
        <f t="shared" ref="AM313:AM321" si="88">AJ313*AL313</f>
        <v>11020000</v>
      </c>
      <c r="AN313" s="193"/>
    </row>
    <row r="314" spans="16:40">
      <c r="Q314" s="97" t="s">
        <v>4683</v>
      </c>
      <c r="R314" s="93">
        <v>37328780</v>
      </c>
      <c r="T314" s="19" t="s">
        <v>5393</v>
      </c>
      <c r="U314" s="19">
        <v>-119753</v>
      </c>
      <c r="V314" s="115">
        <v>800.81560000000002</v>
      </c>
      <c r="W314" s="115">
        <f t="shared" si="80"/>
        <v>-95900070.546800002</v>
      </c>
      <c r="X314" s="276" t="s">
        <v>5392</v>
      </c>
      <c r="AH314" s="193">
        <v>48</v>
      </c>
      <c r="AI314" s="193" t="s">
        <v>4793</v>
      </c>
      <c r="AJ314" s="194">
        <v>30000000</v>
      </c>
      <c r="AK314" s="193">
        <v>27</v>
      </c>
      <c r="AL314" s="193">
        <f t="shared" si="87"/>
        <v>547</v>
      </c>
      <c r="AM314" s="193">
        <f t="shared" si="88"/>
        <v>16410000000</v>
      </c>
      <c r="AN314" s="193" t="s">
        <v>4794</v>
      </c>
    </row>
    <row r="315" spans="16:40">
      <c r="Q315" s="97" t="s">
        <v>4689</v>
      </c>
      <c r="R315" s="93">
        <v>50000000</v>
      </c>
      <c r="S315" s="112"/>
      <c r="T315" s="19" t="s">
        <v>5393</v>
      </c>
      <c r="U315" s="19">
        <v>11291</v>
      </c>
      <c r="V315" s="115">
        <v>800.81560000000002</v>
      </c>
      <c r="W315" s="115">
        <f t="shared" si="80"/>
        <v>9042008.9396000002</v>
      </c>
      <c r="X315" s="276" t="s">
        <v>452</v>
      </c>
      <c r="AH315" s="20">
        <v>49</v>
      </c>
      <c r="AI315" s="20" t="s">
        <v>4867</v>
      </c>
      <c r="AJ315" s="115">
        <v>1100000</v>
      </c>
      <c r="AK315" s="20">
        <v>1</v>
      </c>
      <c r="AL315" s="20">
        <f t="shared" si="87"/>
        <v>520</v>
      </c>
      <c r="AM315" s="20">
        <f t="shared" si="88"/>
        <v>572000000</v>
      </c>
      <c r="AN315" s="20"/>
    </row>
    <row r="316" spans="16:40">
      <c r="Q316" s="97" t="s">
        <v>4750</v>
      </c>
      <c r="R316" s="93">
        <v>68656</v>
      </c>
      <c r="T316" s="187" t="s">
        <v>5394</v>
      </c>
      <c r="U316" s="187">
        <v>-35361</v>
      </c>
      <c r="V316" s="186">
        <v>818.697</v>
      </c>
      <c r="W316" s="186">
        <f t="shared" si="80"/>
        <v>-28949944.616999999</v>
      </c>
      <c r="X316" s="275" t="s">
        <v>5391</v>
      </c>
      <c r="AH316" s="20">
        <v>50</v>
      </c>
      <c r="AI316" s="20" t="s">
        <v>4868</v>
      </c>
      <c r="AJ316" s="115">
        <v>450000</v>
      </c>
      <c r="AK316" s="20">
        <v>0</v>
      </c>
      <c r="AL316" s="20">
        <f t="shared" si="87"/>
        <v>519</v>
      </c>
      <c r="AM316" s="20">
        <f t="shared" si="88"/>
        <v>233550000</v>
      </c>
      <c r="AN316" s="20"/>
    </row>
    <row r="317" spans="16:40">
      <c r="Q317" s="97" t="s">
        <v>4759</v>
      </c>
      <c r="R317" s="93">
        <v>4000236</v>
      </c>
      <c r="T317" s="19" t="s">
        <v>5394</v>
      </c>
      <c r="U317" s="19">
        <v>-35361</v>
      </c>
      <c r="V317" s="115">
        <v>818.697</v>
      </c>
      <c r="W317" s="115">
        <f t="shared" si="80"/>
        <v>-28949944.616999999</v>
      </c>
      <c r="X317" s="276" t="s">
        <v>5392</v>
      </c>
      <c r="AH317" s="147">
        <v>51</v>
      </c>
      <c r="AI317" s="147" t="s">
        <v>4868</v>
      </c>
      <c r="AJ317" s="186">
        <v>550000</v>
      </c>
      <c r="AK317" s="147">
        <v>1</v>
      </c>
      <c r="AL317" s="147">
        <f t="shared" si="87"/>
        <v>519</v>
      </c>
      <c r="AM317" s="147">
        <f t="shared" si="88"/>
        <v>285450000</v>
      </c>
      <c r="AN317" s="147"/>
    </row>
    <row r="318" spans="16:40">
      <c r="Q318" s="97" t="s">
        <v>4759</v>
      </c>
      <c r="R318" s="93">
        <v>2250000</v>
      </c>
      <c r="T318" s="19" t="s">
        <v>5394</v>
      </c>
      <c r="U318" s="19">
        <v>116</v>
      </c>
      <c r="V318" s="115">
        <v>818.697</v>
      </c>
      <c r="W318" s="115">
        <f t="shared" si="80"/>
        <v>94968.851999999999</v>
      </c>
      <c r="X318" s="276" t="s">
        <v>5143</v>
      </c>
      <c r="AH318" s="147">
        <v>52</v>
      </c>
      <c r="AI318" s="147" t="s">
        <v>4870</v>
      </c>
      <c r="AJ318" s="186">
        <v>1000000</v>
      </c>
      <c r="AK318" s="147">
        <v>8</v>
      </c>
      <c r="AL318" s="147">
        <f t="shared" si="87"/>
        <v>518</v>
      </c>
      <c r="AM318" s="147">
        <f t="shared" si="88"/>
        <v>518000000</v>
      </c>
      <c r="AN318" s="147"/>
    </row>
    <row r="319" spans="16:40">
      <c r="Q319" s="97" t="s">
        <v>4764</v>
      </c>
      <c r="R319" s="93">
        <v>-2512200</v>
      </c>
      <c r="T319" s="19" t="s">
        <v>5399</v>
      </c>
      <c r="U319" s="19">
        <v>48633</v>
      </c>
      <c r="V319" s="115">
        <v>822.47199999999998</v>
      </c>
      <c r="W319" s="115">
        <f t="shared" si="80"/>
        <v>39999280.776000001</v>
      </c>
      <c r="X319" s="276" t="s">
        <v>5403</v>
      </c>
      <c r="Y319" t="s">
        <v>25</v>
      </c>
      <c r="AH319" s="20">
        <v>53</v>
      </c>
      <c r="AI319" s="20" t="s">
        <v>4879</v>
      </c>
      <c r="AJ319" s="115">
        <v>-2668880</v>
      </c>
      <c r="AK319" s="20">
        <v>0</v>
      </c>
      <c r="AL319" s="20">
        <f t="shared" si="87"/>
        <v>510</v>
      </c>
      <c r="AM319" s="20">
        <f t="shared" si="88"/>
        <v>-1361128800</v>
      </c>
      <c r="AN319" s="20" t="s">
        <v>4881</v>
      </c>
    </row>
    <row r="320" spans="16:40">
      <c r="Q320" s="97" t="s">
        <v>4773</v>
      </c>
      <c r="R320" s="93">
        <v>300000</v>
      </c>
      <c r="T320" s="19" t="s">
        <v>5399</v>
      </c>
      <c r="U320" s="19">
        <v>3412</v>
      </c>
      <c r="V320" s="115">
        <v>822.47199999999998</v>
      </c>
      <c r="W320" s="115">
        <f t="shared" si="80"/>
        <v>2806274.4640000002</v>
      </c>
      <c r="X320" s="276" t="s">
        <v>5405</v>
      </c>
      <c r="Y320" t="s">
        <v>25</v>
      </c>
      <c r="AH320" s="147">
        <v>54</v>
      </c>
      <c r="AI320" s="147" t="s">
        <v>4879</v>
      </c>
      <c r="AJ320" s="186">
        <v>-1528620</v>
      </c>
      <c r="AK320" s="147">
        <v>0</v>
      </c>
      <c r="AL320" s="147">
        <f t="shared" si="87"/>
        <v>510</v>
      </c>
      <c r="AM320" s="147">
        <f t="shared" si="88"/>
        <v>-779596200</v>
      </c>
      <c r="AN320" s="147" t="s">
        <v>4881</v>
      </c>
    </row>
    <row r="321" spans="17:44">
      <c r="Q321" s="97" t="s">
        <v>966</v>
      </c>
      <c r="R321" s="93">
        <v>1100000</v>
      </c>
      <c r="T321" s="19" t="s">
        <v>5400</v>
      </c>
      <c r="U321" s="19">
        <v>1531</v>
      </c>
      <c r="V321" s="115">
        <v>869.82500000000005</v>
      </c>
      <c r="W321" s="115">
        <f t="shared" si="80"/>
        <v>1331702.075</v>
      </c>
      <c r="X321" s="276" t="s">
        <v>5406</v>
      </c>
      <c r="Z321" t="s">
        <v>25</v>
      </c>
      <c r="AH321" s="20">
        <v>55</v>
      </c>
      <c r="AI321" s="20" t="s">
        <v>4879</v>
      </c>
      <c r="AJ321" s="115">
        <v>50000000</v>
      </c>
      <c r="AK321" s="20">
        <v>4</v>
      </c>
      <c r="AL321" s="20">
        <f t="shared" si="87"/>
        <v>510</v>
      </c>
      <c r="AM321" s="20">
        <f t="shared" si="88"/>
        <v>25500000000</v>
      </c>
      <c r="AN321" s="20"/>
    </row>
    <row r="322" spans="17:44">
      <c r="Q322" s="97" t="s">
        <v>4780</v>
      </c>
      <c r="R322" s="93">
        <v>890000</v>
      </c>
      <c r="T322" s="170" t="s">
        <v>5409</v>
      </c>
      <c r="U322" s="170">
        <v>2394</v>
      </c>
      <c r="V322" s="168">
        <v>835.36580000000004</v>
      </c>
      <c r="W322" s="168">
        <f t="shared" si="80"/>
        <v>1999865.7252</v>
      </c>
      <c r="X322" s="285" t="s">
        <v>5411</v>
      </c>
      <c r="Y322" t="s">
        <v>25</v>
      </c>
      <c r="Z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4800</v>
      </c>
      <c r="R323" s="93">
        <v>1000000</v>
      </c>
      <c r="T323" s="19" t="s">
        <v>5409</v>
      </c>
      <c r="U323" s="19">
        <v>1019</v>
      </c>
      <c r="V323" s="115">
        <v>835.36580000000004</v>
      </c>
      <c r="W323" s="115">
        <f t="shared" si="80"/>
        <v>851237.75020000001</v>
      </c>
      <c r="X323" s="276" t="s">
        <v>452</v>
      </c>
      <c r="Y323" t="s">
        <v>25</v>
      </c>
      <c r="AH323" s="20">
        <v>57</v>
      </c>
      <c r="AI323" s="20" t="s">
        <v>4895</v>
      </c>
      <c r="AJ323" s="115">
        <v>2000000</v>
      </c>
      <c r="AK323" s="20">
        <v>3</v>
      </c>
      <c r="AL323" s="20">
        <f t="shared" si="89"/>
        <v>502</v>
      </c>
      <c r="AM323" s="20">
        <f t="shared" si="90"/>
        <v>1004000000</v>
      </c>
      <c r="AN323" s="20"/>
    </row>
    <row r="324" spans="17:44">
      <c r="Q324" s="97" t="s">
        <v>4801</v>
      </c>
      <c r="R324" s="93">
        <v>45436311</v>
      </c>
      <c r="T324" s="187" t="s">
        <v>5415</v>
      </c>
      <c r="U324" s="187">
        <v>2316</v>
      </c>
      <c r="V324" s="186">
        <v>818.697</v>
      </c>
      <c r="W324" s="186">
        <f t="shared" si="80"/>
        <v>1896102.2520000001</v>
      </c>
      <c r="X324" s="275" t="s">
        <v>5418</v>
      </c>
      <c r="Y324" t="s">
        <v>25</v>
      </c>
      <c r="AA324" t="s">
        <v>25</v>
      </c>
      <c r="AH324" s="20">
        <v>58</v>
      </c>
      <c r="AI324" s="20" t="s">
        <v>4898</v>
      </c>
      <c r="AJ324" s="115">
        <v>100000</v>
      </c>
      <c r="AK324" s="20">
        <v>4</v>
      </c>
      <c r="AL324" s="20">
        <f t="shared" si="89"/>
        <v>499</v>
      </c>
      <c r="AM324" s="20">
        <f t="shared" si="90"/>
        <v>49900000</v>
      </c>
      <c r="AN324" s="20" t="s">
        <v>3875</v>
      </c>
    </row>
    <row r="325" spans="17:44">
      <c r="Q325" s="97" t="s">
        <v>4801</v>
      </c>
      <c r="R325" s="93">
        <v>-3500000</v>
      </c>
      <c r="T325" s="19" t="s">
        <v>5421</v>
      </c>
      <c r="U325" s="19">
        <v>315</v>
      </c>
      <c r="V325" s="115">
        <v>680</v>
      </c>
      <c r="W325" s="115">
        <f t="shared" si="80"/>
        <v>214200</v>
      </c>
      <c r="X325" s="276" t="s">
        <v>5143</v>
      </c>
      <c r="Y325" t="s">
        <v>25</v>
      </c>
      <c r="AH325" s="20">
        <v>59</v>
      </c>
      <c r="AI325" s="20" t="s">
        <v>4905</v>
      </c>
      <c r="AJ325" s="115">
        <v>100000</v>
      </c>
      <c r="AK325" s="20">
        <v>7</v>
      </c>
      <c r="AL325" s="20">
        <f t="shared" si="89"/>
        <v>495</v>
      </c>
      <c r="AM325" s="20">
        <f t="shared" si="90"/>
        <v>49500000</v>
      </c>
      <c r="AN325" s="20"/>
    </row>
    <row r="326" spans="17:44">
      <c r="Q326" s="97" t="s">
        <v>4813</v>
      </c>
      <c r="R326" s="93">
        <v>2520000</v>
      </c>
      <c r="T326" s="19" t="s">
        <v>5446</v>
      </c>
      <c r="U326" s="19">
        <v>832</v>
      </c>
      <c r="V326" s="115">
        <v>784.36500000000001</v>
      </c>
      <c r="W326" s="115">
        <f t="shared" si="80"/>
        <v>652591.68000000005</v>
      </c>
      <c r="X326" s="276" t="s">
        <v>5143</v>
      </c>
      <c r="AA326" t="s">
        <v>25</v>
      </c>
      <c r="AH326" s="20">
        <v>60</v>
      </c>
      <c r="AI326" s="20" t="s">
        <v>4918</v>
      </c>
      <c r="AJ326" s="115">
        <v>50000</v>
      </c>
      <c r="AK326" s="20">
        <v>0</v>
      </c>
      <c r="AL326" s="20">
        <f t="shared" si="89"/>
        <v>488</v>
      </c>
      <c r="AM326" s="20">
        <f t="shared" si="90"/>
        <v>24400000</v>
      </c>
      <c r="AN326" s="20"/>
    </row>
    <row r="327" spans="17:44">
      <c r="Q327" s="97" t="s">
        <v>4848</v>
      </c>
      <c r="R327" s="93">
        <v>4900000</v>
      </c>
      <c r="T327" s="19" t="s">
        <v>5504</v>
      </c>
      <c r="U327" s="19">
        <v>382</v>
      </c>
      <c r="V327" s="115">
        <v>1450.6065000000001</v>
      </c>
      <c r="W327" s="115">
        <f t="shared" si="80"/>
        <v>554131.68300000008</v>
      </c>
      <c r="X327" s="276" t="s">
        <v>5143</v>
      </c>
      <c r="AH327" s="147">
        <v>61</v>
      </c>
      <c r="AI327" s="147" t="s">
        <v>4918</v>
      </c>
      <c r="AJ327" s="186">
        <v>50000</v>
      </c>
      <c r="AK327" s="147">
        <v>3</v>
      </c>
      <c r="AL327" s="147">
        <f t="shared" si="89"/>
        <v>488</v>
      </c>
      <c r="AM327" s="147">
        <f t="shared" si="90"/>
        <v>24400000</v>
      </c>
      <c r="AN327" s="147"/>
    </row>
    <row r="328" spans="17:44">
      <c r="Q328" s="97" t="s">
        <v>4867</v>
      </c>
      <c r="R328" s="93">
        <v>1150000</v>
      </c>
      <c r="T328" s="19" t="s">
        <v>5505</v>
      </c>
      <c r="U328" s="19">
        <v>50047</v>
      </c>
      <c r="V328" s="115">
        <v>1406.14</v>
      </c>
      <c r="W328" s="115">
        <f t="shared" si="80"/>
        <v>70373088.579999998</v>
      </c>
      <c r="X328" s="276" t="s">
        <v>5143</v>
      </c>
      <c r="Y328" t="s">
        <v>25</v>
      </c>
      <c r="AH328" s="20">
        <v>62</v>
      </c>
      <c r="AI328" s="20" t="s">
        <v>4921</v>
      </c>
      <c r="AJ328" s="115">
        <v>50000</v>
      </c>
      <c r="AK328" s="20">
        <v>0</v>
      </c>
      <c r="AL328" s="20">
        <f t="shared" si="89"/>
        <v>485</v>
      </c>
      <c r="AM328" s="20">
        <f t="shared" si="90"/>
        <v>24250000</v>
      </c>
      <c r="AN328" s="20"/>
    </row>
    <row r="329" spans="17:44">
      <c r="Q329" s="97" t="s">
        <v>4820</v>
      </c>
      <c r="R329" s="93">
        <v>250000</v>
      </c>
      <c r="T329" s="19" t="s">
        <v>5506</v>
      </c>
      <c r="U329" s="19">
        <v>846</v>
      </c>
      <c r="V329" s="115">
        <v>1441.6724569999999</v>
      </c>
      <c r="W329" s="115">
        <f t="shared" si="80"/>
        <v>1219654.8986219999</v>
      </c>
      <c r="X329" s="276" t="s">
        <v>5143</v>
      </c>
      <c r="Y329" t="s">
        <v>25</v>
      </c>
      <c r="AH329" s="193">
        <v>63</v>
      </c>
      <c r="AI329" s="193" t="s">
        <v>4921</v>
      </c>
      <c r="AJ329" s="194">
        <v>50000</v>
      </c>
      <c r="AK329" s="193">
        <v>2</v>
      </c>
      <c r="AL329" s="193">
        <f t="shared" si="89"/>
        <v>485</v>
      </c>
      <c r="AM329" s="193">
        <f t="shared" si="90"/>
        <v>24250000</v>
      </c>
      <c r="AN329" s="193"/>
    </row>
    <row r="330" spans="17:44">
      <c r="Q330" s="97" t="s">
        <v>4902</v>
      </c>
      <c r="R330" s="93">
        <v>1403460</v>
      </c>
      <c r="T330" s="19" t="s">
        <v>5507</v>
      </c>
      <c r="U330" s="19">
        <v>10573</v>
      </c>
      <c r="V330" s="115">
        <v>1451.825</v>
      </c>
      <c r="W330" s="115">
        <f t="shared" si="80"/>
        <v>15350145.725</v>
      </c>
      <c r="X330" s="276" t="s">
        <v>5143</v>
      </c>
      <c r="Y330" t="s">
        <v>25</v>
      </c>
      <c r="AA330" t="s">
        <v>25</v>
      </c>
      <c r="AH330" s="20">
        <v>64</v>
      </c>
      <c r="AI330" s="20" t="s">
        <v>4928</v>
      </c>
      <c r="AJ330" s="115">
        <v>25000</v>
      </c>
      <c r="AK330" s="20">
        <v>0</v>
      </c>
      <c r="AL330" s="20">
        <f t="shared" si="89"/>
        <v>483</v>
      </c>
      <c r="AM330" s="20">
        <f t="shared" si="90"/>
        <v>12075000</v>
      </c>
      <c r="AN330" s="20"/>
    </row>
    <row r="331" spans="17:44" ht="30">
      <c r="Q331" s="97" t="s">
        <v>4905</v>
      </c>
      <c r="R331" s="93">
        <v>200000</v>
      </c>
      <c r="T331" s="19" t="s">
        <v>5508</v>
      </c>
      <c r="U331" s="19">
        <v>85</v>
      </c>
      <c r="V331" s="115">
        <v>1423.74</v>
      </c>
      <c r="W331" s="115">
        <f t="shared" si="80"/>
        <v>121017.9</v>
      </c>
      <c r="X331" s="276" t="s">
        <v>5509</v>
      </c>
      <c r="AA331" t="s">
        <v>25</v>
      </c>
      <c r="AH331" s="147">
        <v>65</v>
      </c>
      <c r="AI331" s="147" t="s">
        <v>4928</v>
      </c>
      <c r="AJ331" s="186">
        <v>35000</v>
      </c>
      <c r="AK331" s="147">
        <v>7</v>
      </c>
      <c r="AL331" s="147">
        <f t="shared" si="89"/>
        <v>483</v>
      </c>
      <c r="AM331" s="147">
        <f t="shared" si="90"/>
        <v>16905000</v>
      </c>
      <c r="AN331" s="147"/>
    </row>
    <row r="332" spans="17:44" ht="30">
      <c r="Q332" s="97" t="s">
        <v>4910</v>
      </c>
      <c r="R332" s="93">
        <v>345000</v>
      </c>
      <c r="T332" s="19" t="s">
        <v>5512</v>
      </c>
      <c r="U332" s="19">
        <v>738</v>
      </c>
      <c r="V332" s="115">
        <v>1388.87895</v>
      </c>
      <c r="W332" s="115">
        <f t="shared" si="80"/>
        <v>1024992.6651</v>
      </c>
      <c r="X332" s="276" t="s">
        <v>5520</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4915</v>
      </c>
      <c r="R333" s="93">
        <v>900000</v>
      </c>
      <c r="T333" s="19" t="s">
        <v>5528</v>
      </c>
      <c r="U333" s="19">
        <v>1442</v>
      </c>
      <c r="V333" s="115">
        <v>1350.9547279999999</v>
      </c>
      <c r="W333" s="115">
        <f t="shared" si="80"/>
        <v>1948076.7177759998</v>
      </c>
      <c r="X333" s="276" t="s">
        <v>5143</v>
      </c>
      <c r="Z333" t="s">
        <v>25</v>
      </c>
      <c r="AH333" s="20">
        <v>67</v>
      </c>
      <c r="AI333" s="20" t="s">
        <v>4936</v>
      </c>
      <c r="AJ333" s="115">
        <v>6800000</v>
      </c>
      <c r="AK333" s="20">
        <v>1</v>
      </c>
      <c r="AL333" s="20">
        <f t="shared" si="91"/>
        <v>476</v>
      </c>
      <c r="AM333" s="20">
        <f t="shared" si="92"/>
        <v>3236800000</v>
      </c>
      <c r="AN333" s="20"/>
    </row>
    <row r="334" spans="17:44">
      <c r="Q334" s="97" t="s">
        <v>4918</v>
      </c>
      <c r="R334" s="93">
        <v>372517</v>
      </c>
      <c r="T334" s="19" t="s">
        <v>5529</v>
      </c>
      <c r="U334" s="19">
        <v>36847</v>
      </c>
      <c r="V334" s="115">
        <v>1356.9658300000001</v>
      </c>
      <c r="W334" s="115">
        <f t="shared" si="80"/>
        <v>50000119.938010007</v>
      </c>
      <c r="X334" s="276" t="s">
        <v>5148</v>
      </c>
      <c r="AH334" s="20">
        <v>68</v>
      </c>
      <c r="AI334" s="20" t="s">
        <v>4939</v>
      </c>
      <c r="AJ334" s="115">
        <v>500000</v>
      </c>
      <c r="AK334" s="20">
        <v>1</v>
      </c>
      <c r="AL334" s="20">
        <f t="shared" si="91"/>
        <v>475</v>
      </c>
      <c r="AM334" s="20">
        <f t="shared" si="92"/>
        <v>237500000</v>
      </c>
      <c r="AN334" s="20"/>
    </row>
    <row r="335" spans="17:44" ht="30">
      <c r="Q335" s="97" t="s">
        <v>4926</v>
      </c>
      <c r="R335" s="93">
        <v>6489257</v>
      </c>
      <c r="T335" s="19" t="s">
        <v>5530</v>
      </c>
      <c r="U335" s="19">
        <v>13738</v>
      </c>
      <c r="V335" s="115">
        <v>1455.82</v>
      </c>
      <c r="W335" s="115">
        <f t="shared" si="80"/>
        <v>20000055.16</v>
      </c>
      <c r="X335" s="276" t="s">
        <v>5551</v>
      </c>
      <c r="Y335" t="s">
        <v>25</v>
      </c>
      <c r="AH335" s="20">
        <v>69</v>
      </c>
      <c r="AI335" s="20" t="s">
        <v>4945</v>
      </c>
      <c r="AJ335" s="115">
        <v>850000</v>
      </c>
      <c r="AK335" s="20">
        <v>5</v>
      </c>
      <c r="AL335" s="20">
        <f t="shared" si="91"/>
        <v>474</v>
      </c>
      <c r="AM335" s="20">
        <f t="shared" si="92"/>
        <v>402900000</v>
      </c>
      <c r="AN335" s="20"/>
    </row>
    <row r="336" spans="17:44">
      <c r="Q336" s="97" t="s">
        <v>4962</v>
      </c>
      <c r="R336" s="93">
        <v>618000</v>
      </c>
      <c r="T336" s="19" t="s">
        <v>5561</v>
      </c>
      <c r="U336" s="19">
        <v>3100</v>
      </c>
      <c r="V336" s="115">
        <v>1853.4507470000001</v>
      </c>
      <c r="W336" s="115">
        <f t="shared" si="80"/>
        <v>5745697.3157000002</v>
      </c>
      <c r="X336" s="276" t="s">
        <v>5143</v>
      </c>
      <c r="AH336" s="20">
        <v>70</v>
      </c>
      <c r="AI336" s="20" t="s">
        <v>4954</v>
      </c>
      <c r="AJ336" s="115">
        <v>1130250</v>
      </c>
      <c r="AK336" s="20">
        <v>0</v>
      </c>
      <c r="AL336" s="20">
        <f t="shared" si="91"/>
        <v>469</v>
      </c>
      <c r="AM336" s="20">
        <f t="shared" si="92"/>
        <v>530087250</v>
      </c>
      <c r="AN336" s="20"/>
      <c r="AR336" t="s">
        <v>25</v>
      </c>
    </row>
    <row r="337" spans="17:46">
      <c r="Q337" s="97" t="s">
        <v>4973</v>
      </c>
      <c r="R337" s="93">
        <v>20105000</v>
      </c>
      <c r="T337" s="19" t="s">
        <v>5562</v>
      </c>
      <c r="U337" s="19">
        <v>480</v>
      </c>
      <c r="V337" s="115">
        <v>1891.9962069999999</v>
      </c>
      <c r="W337" s="115">
        <f t="shared" si="80"/>
        <v>908158.17935999995</v>
      </c>
      <c r="X337" s="276" t="s">
        <v>5143</v>
      </c>
      <c r="Y337" t="s">
        <v>25</v>
      </c>
      <c r="AH337" s="252">
        <v>71</v>
      </c>
      <c r="AI337" s="252" t="s">
        <v>4954</v>
      </c>
      <c r="AJ337" s="243">
        <v>30000</v>
      </c>
      <c r="AK337" s="252">
        <v>5</v>
      </c>
      <c r="AL337" s="252">
        <f t="shared" si="91"/>
        <v>469</v>
      </c>
      <c r="AM337" s="252">
        <f t="shared" si="92"/>
        <v>14070000</v>
      </c>
      <c r="AN337" s="252"/>
      <c r="AS337" t="s">
        <v>25</v>
      </c>
    </row>
    <row r="338" spans="17:46">
      <c r="Q338" s="97" t="s">
        <v>4977</v>
      </c>
      <c r="R338" s="93">
        <v>-21079990</v>
      </c>
      <c r="T338" s="19" t="s">
        <v>5563</v>
      </c>
      <c r="U338" s="19">
        <v>6522</v>
      </c>
      <c r="V338" s="115">
        <v>1938.4694340000001</v>
      </c>
      <c r="W338" s="115">
        <f t="shared" si="80"/>
        <v>12642697.648548001</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4978</v>
      </c>
      <c r="R339" s="93">
        <v>-5949277</v>
      </c>
      <c r="T339" s="19" t="s">
        <v>5564</v>
      </c>
      <c r="U339" s="19">
        <v>6197</v>
      </c>
      <c r="V339" s="115">
        <v>1984.3985499999999</v>
      </c>
      <c r="W339" s="115">
        <f t="shared" si="80"/>
        <v>12297317.81435</v>
      </c>
      <c r="X339" s="276" t="s">
        <v>5143</v>
      </c>
      <c r="AH339" s="147">
        <v>73</v>
      </c>
      <c r="AI339" s="147" t="s">
        <v>4962</v>
      </c>
      <c r="AJ339" s="186">
        <v>206000</v>
      </c>
      <c r="AK339" s="147">
        <v>2</v>
      </c>
      <c r="AL339" s="147">
        <f t="shared" si="91"/>
        <v>464</v>
      </c>
      <c r="AM339" s="147">
        <f t="shared" si="92"/>
        <v>95584000</v>
      </c>
      <c r="AN339" s="147"/>
      <c r="AS339" t="s">
        <v>25</v>
      </c>
    </row>
    <row r="340" spans="17:46">
      <c r="Q340" s="97" t="s">
        <v>4984</v>
      </c>
      <c r="R340" s="93">
        <v>-15370656</v>
      </c>
      <c r="T340" s="19" t="s">
        <v>5565</v>
      </c>
      <c r="U340" s="19">
        <v>4646</v>
      </c>
      <c r="V340" s="115">
        <v>1928.464023</v>
      </c>
      <c r="W340" s="115">
        <f t="shared" si="80"/>
        <v>8959643.8508579992</v>
      </c>
      <c r="X340" s="276" t="s">
        <v>5143</v>
      </c>
      <c r="Y340" t="s">
        <v>25</v>
      </c>
      <c r="AH340" s="20">
        <v>74</v>
      </c>
      <c r="AI340" s="20" t="s">
        <v>4969</v>
      </c>
      <c r="AJ340" s="115">
        <v>50000</v>
      </c>
      <c r="AK340" s="20">
        <v>0</v>
      </c>
      <c r="AL340" s="20">
        <f t="shared" si="91"/>
        <v>462</v>
      </c>
      <c r="AM340" s="20">
        <f t="shared" si="92"/>
        <v>23100000</v>
      </c>
      <c r="AN340" s="20"/>
    </row>
    <row r="341" spans="17:46">
      <c r="Q341" s="97" t="s">
        <v>4990</v>
      </c>
      <c r="R341" s="93">
        <v>4960000</v>
      </c>
      <c r="T341" s="19" t="s">
        <v>5566</v>
      </c>
      <c r="U341" s="19">
        <v>7668</v>
      </c>
      <c r="V341" s="115">
        <v>1976.2774959999999</v>
      </c>
      <c r="W341" s="115">
        <f t="shared" si="80"/>
        <v>15154095.839328</v>
      </c>
      <c r="X341" s="276" t="s">
        <v>5143</v>
      </c>
      <c r="Y341" t="s">
        <v>25</v>
      </c>
      <c r="AH341" s="252">
        <v>75</v>
      </c>
      <c r="AI341" s="252" t="s">
        <v>4969</v>
      </c>
      <c r="AJ341" s="243">
        <v>50000</v>
      </c>
      <c r="AK341" s="252">
        <v>2</v>
      </c>
      <c r="AL341" s="252">
        <f t="shared" si="91"/>
        <v>462</v>
      </c>
      <c r="AM341" s="252">
        <f t="shared" si="92"/>
        <v>23100000</v>
      </c>
      <c r="AN341" s="252"/>
    </row>
    <row r="342" spans="17:46" ht="30">
      <c r="Q342" s="97" t="s">
        <v>4990</v>
      </c>
      <c r="R342" s="93">
        <v>10000000</v>
      </c>
      <c r="S342" s="112"/>
      <c r="T342" s="19" t="s">
        <v>5577</v>
      </c>
      <c r="U342" s="19">
        <v>-43325</v>
      </c>
      <c r="V342" s="115">
        <v>2146.5548840000001</v>
      </c>
      <c r="W342" s="115">
        <f t="shared" si="80"/>
        <v>-92999490.349300012</v>
      </c>
      <c r="X342" s="276" t="s">
        <v>5578</v>
      </c>
      <c r="AH342" s="20">
        <v>76</v>
      </c>
      <c r="AI342" s="20" t="s">
        <v>4973</v>
      </c>
      <c r="AJ342" s="115">
        <v>20000000</v>
      </c>
      <c r="AK342" s="20">
        <v>7</v>
      </c>
      <c r="AL342" s="20">
        <f t="shared" si="91"/>
        <v>460</v>
      </c>
      <c r="AM342" s="20">
        <f t="shared" si="92"/>
        <v>9200000000</v>
      </c>
      <c r="AN342" s="20" t="s">
        <v>4974</v>
      </c>
    </row>
    <row r="343" spans="17:46">
      <c r="Q343" s="97" t="s">
        <v>4997</v>
      </c>
      <c r="R343" s="93">
        <v>-40570100</v>
      </c>
      <c r="T343" s="187" t="s">
        <v>5577</v>
      </c>
      <c r="U343" s="187">
        <v>-589</v>
      </c>
      <c r="V343" s="186">
        <v>2146.5548840000001</v>
      </c>
      <c r="W343" s="186">
        <f t="shared" si="80"/>
        <v>-1264320.8266760001</v>
      </c>
      <c r="X343" s="275" t="s">
        <v>5583</v>
      </c>
      <c r="AH343" s="20">
        <v>77</v>
      </c>
      <c r="AI343" s="20" t="s">
        <v>4984</v>
      </c>
      <c r="AJ343" s="115">
        <v>50000</v>
      </c>
      <c r="AK343" s="20">
        <v>0</v>
      </c>
      <c r="AL343" s="20">
        <f t="shared" si="91"/>
        <v>453</v>
      </c>
      <c r="AM343" s="20">
        <f t="shared" si="92"/>
        <v>22650000</v>
      </c>
      <c r="AN343" s="20"/>
    </row>
    <row r="344" spans="17:46">
      <c r="Q344" s="97" t="s">
        <v>5006</v>
      </c>
      <c r="R344" s="93">
        <v>1000000</v>
      </c>
      <c r="T344" s="19" t="s">
        <v>5587</v>
      </c>
      <c r="U344" s="19">
        <v>20888</v>
      </c>
      <c r="V344" s="115">
        <v>2428.4521530000002</v>
      </c>
      <c r="W344" s="115">
        <f t="shared" si="80"/>
        <v>50725508.571864001</v>
      </c>
      <c r="X344" s="276" t="s">
        <v>5143</v>
      </c>
      <c r="Y344" t="s">
        <v>25</v>
      </c>
      <c r="AH344" s="147">
        <v>78</v>
      </c>
      <c r="AI344" s="147" t="s">
        <v>4984</v>
      </c>
      <c r="AJ344" s="186">
        <v>50000</v>
      </c>
      <c r="AK344" s="147">
        <v>7</v>
      </c>
      <c r="AL344" s="147">
        <f t="shared" si="91"/>
        <v>453</v>
      </c>
      <c r="AM344" s="147">
        <f t="shared" si="92"/>
        <v>22650000</v>
      </c>
      <c r="AN344" s="147"/>
    </row>
    <row r="345" spans="17:46">
      <c r="Q345" s="97" t="s">
        <v>5007</v>
      </c>
      <c r="R345" s="93">
        <v>400000</v>
      </c>
      <c r="T345" s="19" t="s">
        <v>5589</v>
      </c>
      <c r="U345" s="19">
        <v>21663</v>
      </c>
      <c r="V345" s="115">
        <v>2308.0067819999999</v>
      </c>
      <c r="W345" s="115">
        <f t="shared" si="80"/>
        <v>49998350.918466002</v>
      </c>
      <c r="X345" s="276" t="s">
        <v>5592</v>
      </c>
      <c r="AH345" s="20">
        <v>79</v>
      </c>
      <c r="AI345" s="20" t="s">
        <v>4990</v>
      </c>
      <c r="AJ345" s="115">
        <v>2480000</v>
      </c>
      <c r="AK345" s="20">
        <v>0</v>
      </c>
      <c r="AL345" s="20">
        <f t="shared" si="91"/>
        <v>446</v>
      </c>
      <c r="AM345" s="20">
        <f t="shared" si="92"/>
        <v>1106080000</v>
      </c>
      <c r="AN345" s="20"/>
    </row>
    <row r="346" spans="17:46">
      <c r="Q346" s="97" t="s">
        <v>5014</v>
      </c>
      <c r="R346" s="93">
        <v>120000</v>
      </c>
      <c r="T346" s="19" t="s">
        <v>5589</v>
      </c>
      <c r="U346" s="19">
        <v>977</v>
      </c>
      <c r="V346" s="115">
        <v>2335.6821479999999</v>
      </c>
      <c r="W346" s="115">
        <f t="shared" si="80"/>
        <v>2281961.458596</v>
      </c>
      <c r="X346" s="276" t="s">
        <v>5143</v>
      </c>
      <c r="AH346" s="147">
        <v>80</v>
      </c>
      <c r="AI346" s="147" t="s">
        <v>4990</v>
      </c>
      <c r="AJ346" s="186">
        <v>2480000</v>
      </c>
      <c r="AK346" s="147">
        <v>12</v>
      </c>
      <c r="AL346" s="147">
        <f t="shared" si="91"/>
        <v>446</v>
      </c>
      <c r="AM346" s="147">
        <f t="shared" si="92"/>
        <v>1106080000</v>
      </c>
      <c r="AN346" s="147"/>
    </row>
    <row r="347" spans="17:46">
      <c r="Q347" s="97" t="s">
        <v>5029</v>
      </c>
      <c r="R347" s="93">
        <v>500000</v>
      </c>
      <c r="T347" s="19" t="s">
        <v>5596</v>
      </c>
      <c r="U347" s="19">
        <v>4155</v>
      </c>
      <c r="V347" s="115">
        <v>2647</v>
      </c>
      <c r="W347" s="115">
        <f t="shared" si="80"/>
        <v>10998285</v>
      </c>
      <c r="X347" s="276" t="s">
        <v>5143</v>
      </c>
      <c r="AH347" s="20">
        <v>81</v>
      </c>
      <c r="AI347" s="20" t="s">
        <v>4997</v>
      </c>
      <c r="AJ347" s="115">
        <v>-24159500</v>
      </c>
      <c r="AK347" s="20">
        <v>4</v>
      </c>
      <c r="AL347" s="20">
        <f t="shared" si="91"/>
        <v>434</v>
      </c>
      <c r="AM347" s="20">
        <f t="shared" si="92"/>
        <v>-10485223000</v>
      </c>
      <c r="AN347" s="20" t="s">
        <v>5005</v>
      </c>
    </row>
    <row r="348" spans="17:46">
      <c r="Q348" s="97" t="s">
        <v>5019</v>
      </c>
      <c r="R348" s="93">
        <v>744000</v>
      </c>
      <c r="T348" s="19" t="s">
        <v>5597</v>
      </c>
      <c r="U348" s="19">
        <v>351</v>
      </c>
      <c r="V348" s="115">
        <v>2800.6238229999999</v>
      </c>
      <c r="W348" s="115">
        <f t="shared" si="80"/>
        <v>983018.96187300002</v>
      </c>
      <c r="X348" s="276" t="s">
        <v>5143</v>
      </c>
      <c r="AH348" s="20">
        <v>82</v>
      </c>
      <c r="AI348" s="20" t="s">
        <v>5007</v>
      </c>
      <c r="AJ348" s="115">
        <v>400000</v>
      </c>
      <c r="AK348" s="20">
        <v>3</v>
      </c>
      <c r="AL348" s="20">
        <f t="shared" si="91"/>
        <v>430</v>
      </c>
      <c r="AM348" s="20">
        <f t="shared" si="92"/>
        <v>172000000</v>
      </c>
      <c r="AN348" s="20"/>
    </row>
    <row r="349" spans="17:46">
      <c r="Q349" s="97" t="s">
        <v>5045</v>
      </c>
      <c r="R349" s="93">
        <v>65000</v>
      </c>
      <c r="T349" s="19" t="s">
        <v>5599</v>
      </c>
      <c r="U349" s="19">
        <v>5877</v>
      </c>
      <c r="V349" s="115">
        <v>2901.0160000000001</v>
      </c>
      <c r="W349" s="115">
        <f t="shared" si="80"/>
        <v>17049271.032000002</v>
      </c>
      <c r="X349" s="276" t="s">
        <v>5143</v>
      </c>
      <c r="AH349" s="147">
        <v>83</v>
      </c>
      <c r="AI349" s="147" t="s">
        <v>5014</v>
      </c>
      <c r="AJ349" s="186">
        <v>40000</v>
      </c>
      <c r="AK349" s="147">
        <v>0</v>
      </c>
      <c r="AL349" s="147">
        <f t="shared" si="91"/>
        <v>427</v>
      </c>
      <c r="AM349" s="147">
        <f t="shared" si="92"/>
        <v>17080000</v>
      </c>
      <c r="AN349" s="147"/>
    </row>
    <row r="350" spans="17:46">
      <c r="Q350" s="97" t="s">
        <v>5051</v>
      </c>
      <c r="R350" s="93">
        <v>-14053702</v>
      </c>
      <c r="T350" s="19" t="s">
        <v>5602</v>
      </c>
      <c r="U350" s="19">
        <v>2374</v>
      </c>
      <c r="V350" s="115">
        <v>2877</v>
      </c>
      <c r="W350" s="115">
        <f t="shared" ref="W350:W415" si="93">U350*V350</f>
        <v>6829998</v>
      </c>
      <c r="X350" s="276" t="s">
        <v>5143</v>
      </c>
      <c r="Y350" t="s">
        <v>25</v>
      </c>
      <c r="Z350" t="s">
        <v>25</v>
      </c>
      <c r="AH350" s="20">
        <v>84</v>
      </c>
      <c r="AI350" s="20" t="s">
        <v>5014</v>
      </c>
      <c r="AJ350" s="115">
        <v>40000</v>
      </c>
      <c r="AK350" s="20">
        <v>5</v>
      </c>
      <c r="AL350" s="20">
        <f t="shared" si="91"/>
        <v>427</v>
      </c>
      <c r="AM350" s="20">
        <f t="shared" si="92"/>
        <v>17080000</v>
      </c>
      <c r="AN350" s="20"/>
    </row>
    <row r="351" spans="17:46">
      <c r="Q351" s="97" t="s">
        <v>5020</v>
      </c>
      <c r="R351" s="93">
        <v>3555678</v>
      </c>
      <c r="S351" t="s">
        <v>25</v>
      </c>
      <c r="T351" s="19" t="s">
        <v>4214</v>
      </c>
      <c r="U351" s="19">
        <v>2532</v>
      </c>
      <c r="V351" s="115">
        <v>2757.7444</v>
      </c>
      <c r="W351" s="115">
        <f t="shared" si="93"/>
        <v>6982608.8207999999</v>
      </c>
      <c r="X351" s="276" t="s">
        <v>5143</v>
      </c>
      <c r="AH351" s="20">
        <v>85</v>
      </c>
      <c r="AI351" s="20" t="s">
        <v>5023</v>
      </c>
      <c r="AJ351" s="115">
        <v>200000</v>
      </c>
      <c r="AK351" s="20">
        <v>1</v>
      </c>
      <c r="AL351" s="20">
        <f t="shared" si="91"/>
        <v>422</v>
      </c>
      <c r="AM351" s="20">
        <f t="shared" si="92"/>
        <v>84400000</v>
      </c>
      <c r="AN351" s="20"/>
    </row>
    <row r="352" spans="17:46">
      <c r="Q352" s="97" t="s">
        <v>5087</v>
      </c>
      <c r="R352" s="93">
        <v>3495</v>
      </c>
      <c r="T352" s="19" t="s">
        <v>4214</v>
      </c>
      <c r="U352" s="19">
        <v>4987</v>
      </c>
      <c r="V352" s="115">
        <v>2757.7444</v>
      </c>
      <c r="W352" s="115">
        <f t="shared" si="93"/>
        <v>13752871.322800001</v>
      </c>
      <c r="X352" s="276" t="s">
        <v>5619</v>
      </c>
      <c r="Y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5093</v>
      </c>
      <c r="R353" s="93">
        <v>6000000</v>
      </c>
      <c r="T353" s="19" t="s">
        <v>4214</v>
      </c>
      <c r="U353" s="19">
        <v>997</v>
      </c>
      <c r="V353" s="115">
        <v>2757.7444</v>
      </c>
      <c r="W353" s="115">
        <f t="shared" si="93"/>
        <v>2749471.1668000002</v>
      </c>
      <c r="X353" s="276" t="s">
        <v>5620</v>
      </c>
      <c r="Y353" t="s">
        <v>25</v>
      </c>
      <c r="Z353" t="s">
        <v>25</v>
      </c>
      <c r="AH353" s="20">
        <v>87</v>
      </c>
      <c r="AI353" s="20" t="s">
        <v>5029</v>
      </c>
      <c r="AJ353" s="115">
        <v>500000</v>
      </c>
      <c r="AK353" s="20">
        <v>3</v>
      </c>
      <c r="AL353" s="20">
        <f t="shared" si="94"/>
        <v>419</v>
      </c>
      <c r="AM353" s="20">
        <f t="shared" si="95"/>
        <v>209500000</v>
      </c>
      <c r="AN353" s="20"/>
    </row>
    <row r="354" spans="17:45" ht="30">
      <c r="Q354" s="97" t="s">
        <v>5096</v>
      </c>
      <c r="R354" s="93">
        <v>17220</v>
      </c>
      <c r="T354" s="187" t="s">
        <v>5623</v>
      </c>
      <c r="U354" s="187">
        <v>-18</v>
      </c>
      <c r="V354" s="186">
        <v>2675</v>
      </c>
      <c r="W354" s="186">
        <f t="shared" si="93"/>
        <v>-48150</v>
      </c>
      <c r="X354" s="275" t="s">
        <v>5624</v>
      </c>
      <c r="AH354" s="20">
        <v>88</v>
      </c>
      <c r="AI354" s="20" t="s">
        <v>5019</v>
      </c>
      <c r="AJ354" s="115">
        <v>250000</v>
      </c>
      <c r="AK354" s="20">
        <v>0</v>
      </c>
      <c r="AL354" s="20">
        <f t="shared" si="94"/>
        <v>416</v>
      </c>
      <c r="AM354" s="20">
        <f t="shared" si="95"/>
        <v>104000000</v>
      </c>
      <c r="AN354" s="20"/>
    </row>
    <row r="355" spans="17:45">
      <c r="Q355" s="97" t="s">
        <v>5097</v>
      </c>
      <c r="R355" s="93">
        <v>8249</v>
      </c>
      <c r="T355" s="19" t="s">
        <v>5626</v>
      </c>
      <c r="U355" s="19">
        <v>2874</v>
      </c>
      <c r="V355" s="115">
        <v>2613.1284000000001</v>
      </c>
      <c r="W355" s="115">
        <f t="shared" si="93"/>
        <v>7510131.0216000006</v>
      </c>
      <c r="X355" s="276" t="s">
        <v>5143</v>
      </c>
      <c r="AH355" s="252">
        <v>89</v>
      </c>
      <c r="AI355" s="252" t="s">
        <v>5019</v>
      </c>
      <c r="AJ355" s="243">
        <v>245000</v>
      </c>
      <c r="AK355" s="252">
        <v>16</v>
      </c>
      <c r="AL355" s="252">
        <f t="shared" si="94"/>
        <v>416</v>
      </c>
      <c r="AM355" s="252">
        <f t="shared" si="95"/>
        <v>101920000</v>
      </c>
      <c r="AN355" s="252"/>
    </row>
    <row r="356" spans="17:45">
      <c r="Q356" s="97" t="s">
        <v>5099</v>
      </c>
      <c r="R356" s="93">
        <v>6937</v>
      </c>
      <c r="T356" s="19" t="s">
        <v>5633</v>
      </c>
      <c r="U356" s="19">
        <v>2847</v>
      </c>
      <c r="V356" s="115">
        <v>2556.3841000000002</v>
      </c>
      <c r="W356" s="115">
        <f t="shared" si="93"/>
        <v>7278025.5327000003</v>
      </c>
      <c r="X356" s="276" t="s">
        <v>5143</v>
      </c>
      <c r="AH356" s="20">
        <v>90</v>
      </c>
      <c r="AI356" s="20" t="s">
        <v>5055</v>
      </c>
      <c r="AJ356" s="115">
        <v>312598</v>
      </c>
      <c r="AK356" s="20">
        <v>0</v>
      </c>
      <c r="AL356" s="20">
        <f t="shared" si="94"/>
        <v>400</v>
      </c>
      <c r="AM356" s="20">
        <f t="shared" si="95"/>
        <v>125039200</v>
      </c>
      <c r="AN356" s="20"/>
    </row>
    <row r="357" spans="17:45">
      <c r="Q357" s="97" t="s">
        <v>5099</v>
      </c>
      <c r="R357" s="93">
        <v>4046552</v>
      </c>
      <c r="T357" s="19" t="s">
        <v>5633</v>
      </c>
      <c r="U357" s="19">
        <v>1222</v>
      </c>
      <c r="V357" s="115">
        <v>2556.3841000000002</v>
      </c>
      <c r="W357" s="115">
        <f t="shared" si="93"/>
        <v>3123901.3702000002</v>
      </c>
      <c r="X357" s="276" t="s">
        <v>5634</v>
      </c>
      <c r="AH357" s="20">
        <v>91</v>
      </c>
      <c r="AI357" s="20" t="s">
        <v>5055</v>
      </c>
      <c r="AJ357" s="115">
        <v>780000</v>
      </c>
      <c r="AK357" s="20">
        <v>0</v>
      </c>
      <c r="AL357" s="20">
        <f t="shared" si="94"/>
        <v>400</v>
      </c>
      <c r="AM357" s="20">
        <f t="shared" si="95"/>
        <v>312000000</v>
      </c>
      <c r="AN357" s="20"/>
    </row>
    <row r="358" spans="17:45" ht="18" customHeight="1">
      <c r="Q358" s="97" t="s">
        <v>5102</v>
      </c>
      <c r="R358" s="93">
        <v>-3884943</v>
      </c>
      <c r="T358" s="19" t="s">
        <v>5642</v>
      </c>
      <c r="U358" s="19">
        <v>73</v>
      </c>
      <c r="V358" s="115">
        <v>2672.0459999999998</v>
      </c>
      <c r="W358" s="115">
        <f t="shared" si="93"/>
        <v>195059.35799999998</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5111</v>
      </c>
      <c r="R359" s="93">
        <v>6022</v>
      </c>
      <c r="T359" s="187" t="s">
        <v>5647</v>
      </c>
      <c r="U359" s="187">
        <v>-19</v>
      </c>
      <c r="V359" s="186">
        <v>2598.1260000000002</v>
      </c>
      <c r="W359" s="186">
        <f t="shared" si="93"/>
        <v>-49364.394</v>
      </c>
      <c r="X359" s="275" t="s">
        <v>5624</v>
      </c>
      <c r="AH359" s="20">
        <v>93</v>
      </c>
      <c r="AI359" s="20" t="s">
        <v>5020</v>
      </c>
      <c r="AJ359" s="115">
        <v>300000</v>
      </c>
      <c r="AK359" s="20">
        <v>0</v>
      </c>
      <c r="AL359" s="20">
        <f t="shared" si="94"/>
        <v>399</v>
      </c>
      <c r="AM359" s="20">
        <f t="shared" si="95"/>
        <v>119700000</v>
      </c>
      <c r="AN359" s="20"/>
    </row>
    <row r="360" spans="17:45" ht="30">
      <c r="Q360" s="97" t="s">
        <v>5138</v>
      </c>
      <c r="R360" s="93">
        <v>400000</v>
      </c>
      <c r="T360" s="19" t="s">
        <v>5647</v>
      </c>
      <c r="U360" s="19">
        <v>332</v>
      </c>
      <c r="V360" s="115">
        <v>2598.1260000000002</v>
      </c>
      <c r="W360" s="115">
        <f t="shared" si="93"/>
        <v>862577.83200000005</v>
      </c>
      <c r="X360" s="276" t="s">
        <v>5648</v>
      </c>
      <c r="AH360" s="20">
        <v>94</v>
      </c>
      <c r="AI360" s="20" t="s">
        <v>5020</v>
      </c>
      <c r="AJ360" s="115">
        <v>8660000</v>
      </c>
      <c r="AK360" s="20">
        <v>8</v>
      </c>
      <c r="AL360" s="20">
        <f t="shared" si="94"/>
        <v>399</v>
      </c>
      <c r="AM360" s="20">
        <f t="shared" si="95"/>
        <v>3455340000</v>
      </c>
      <c r="AN360" s="20"/>
    </row>
    <row r="361" spans="17:45">
      <c r="Q361" s="97" t="s">
        <v>5142</v>
      </c>
      <c r="R361" s="93">
        <v>92847</v>
      </c>
      <c r="T361" s="19" t="s">
        <v>5649</v>
      </c>
      <c r="U361" s="19">
        <v>346</v>
      </c>
      <c r="V361" s="115">
        <v>2659.8510000000001</v>
      </c>
      <c r="W361" s="115">
        <f t="shared" si="93"/>
        <v>920308.446</v>
      </c>
      <c r="X361" s="276" t="s">
        <v>5143</v>
      </c>
      <c r="AH361" s="147">
        <v>95</v>
      </c>
      <c r="AI361" s="147" t="s">
        <v>5072</v>
      </c>
      <c r="AJ361" s="186">
        <v>200000</v>
      </c>
      <c r="AK361" s="147">
        <v>3</v>
      </c>
      <c r="AL361" s="147">
        <f t="shared" si="94"/>
        <v>391</v>
      </c>
      <c r="AM361" s="147">
        <f t="shared" si="95"/>
        <v>78200000</v>
      </c>
      <c r="AN361" s="147"/>
    </row>
    <row r="362" spans="17:45" ht="18.75" customHeight="1">
      <c r="Q362" s="97" t="s">
        <v>5142</v>
      </c>
      <c r="R362" s="93">
        <v>-100000</v>
      </c>
      <c r="T362" s="19" t="s">
        <v>5650</v>
      </c>
      <c r="U362" s="19">
        <v>1722</v>
      </c>
      <c r="V362" s="115">
        <v>2692.1079220000001</v>
      </c>
      <c r="W362" s="115">
        <f t="shared" si="93"/>
        <v>4635809.8416840006</v>
      </c>
      <c r="X362" s="276" t="s">
        <v>5143</v>
      </c>
      <c r="AH362" s="147">
        <v>96</v>
      </c>
      <c r="AI362" s="147" t="s">
        <v>5075</v>
      </c>
      <c r="AJ362" s="186">
        <v>20000</v>
      </c>
      <c r="AK362" s="147">
        <v>1</v>
      </c>
      <c r="AL362" s="147">
        <f t="shared" si="94"/>
        <v>388</v>
      </c>
      <c r="AM362" s="147">
        <f t="shared" si="95"/>
        <v>7760000</v>
      </c>
      <c r="AN362" s="147"/>
    </row>
    <row r="363" spans="17:45" ht="30">
      <c r="Q363" s="97" t="s">
        <v>5146</v>
      </c>
      <c r="R363" s="93">
        <v>10000000</v>
      </c>
      <c r="T363" s="187" t="s">
        <v>5653</v>
      </c>
      <c r="U363" s="187">
        <v>-44</v>
      </c>
      <c r="V363" s="186">
        <v>2725.4</v>
      </c>
      <c r="W363" s="186">
        <f t="shared" si="93"/>
        <v>-119917.6</v>
      </c>
      <c r="X363" s="275" t="s">
        <v>5624</v>
      </c>
      <c r="AH363" s="20">
        <v>97</v>
      </c>
      <c r="AI363" s="20" t="s">
        <v>5085</v>
      </c>
      <c r="AJ363" s="115">
        <v>14340000</v>
      </c>
      <c r="AK363" s="20">
        <v>7</v>
      </c>
      <c r="AL363" s="20">
        <f t="shared" si="94"/>
        <v>387</v>
      </c>
      <c r="AM363" s="20">
        <f t="shared" si="95"/>
        <v>5549580000</v>
      </c>
      <c r="AN363" s="20"/>
    </row>
    <row r="364" spans="17:45">
      <c r="Q364" s="97" t="s">
        <v>5151</v>
      </c>
      <c r="R364" s="93">
        <v>-400000</v>
      </c>
      <c r="T364" s="19" t="s">
        <v>5653</v>
      </c>
      <c r="U364" s="19">
        <v>106</v>
      </c>
      <c r="V364" s="115">
        <v>2725.4</v>
      </c>
      <c r="W364" s="115">
        <f t="shared" si="93"/>
        <v>288892.40000000002</v>
      </c>
      <c r="X364" s="276" t="s">
        <v>452</v>
      </c>
      <c r="AB364" t="s">
        <v>25</v>
      </c>
      <c r="AH364" s="20">
        <v>98</v>
      </c>
      <c r="AI364" s="20" t="s">
        <v>5093</v>
      </c>
      <c r="AJ364" s="115">
        <v>10000000</v>
      </c>
      <c r="AK364" s="20">
        <v>6</v>
      </c>
      <c r="AL364" s="20">
        <f t="shared" si="94"/>
        <v>380</v>
      </c>
      <c r="AM364" s="20">
        <f t="shared" si="95"/>
        <v>3800000000</v>
      </c>
      <c r="AN364" s="20" t="s">
        <v>4691</v>
      </c>
    </row>
    <row r="365" spans="17:45" ht="30">
      <c r="Q365" s="97" t="s">
        <v>5155</v>
      </c>
      <c r="R365" s="93">
        <v>5649</v>
      </c>
      <c r="T365" s="187" t="s">
        <v>5641</v>
      </c>
      <c r="U365" s="187">
        <v>-55</v>
      </c>
      <c r="V365" s="186">
        <v>2730.81</v>
      </c>
      <c r="W365" s="186">
        <f t="shared" si="93"/>
        <v>-150194.54999999999</v>
      </c>
      <c r="X365" s="275" t="s">
        <v>5624</v>
      </c>
      <c r="AH365" s="20">
        <v>99</v>
      </c>
      <c r="AI365" s="20" t="s">
        <v>5099</v>
      </c>
      <c r="AJ365" s="115">
        <v>4033949</v>
      </c>
      <c r="AK365" s="20">
        <v>2</v>
      </c>
      <c r="AL365" s="20">
        <f t="shared" si="94"/>
        <v>374</v>
      </c>
      <c r="AM365" s="20">
        <f t="shared" si="95"/>
        <v>1508696926</v>
      </c>
      <c r="AN365" s="20" t="s">
        <v>5101</v>
      </c>
    </row>
    <row r="366" spans="17:45" ht="30">
      <c r="Q366" s="97" t="s">
        <v>5157</v>
      </c>
      <c r="R366" s="93">
        <v>460000</v>
      </c>
      <c r="T366" s="187" t="s">
        <v>5668</v>
      </c>
      <c r="U366" s="187">
        <v>-66</v>
      </c>
      <c r="V366" s="186">
        <v>3031</v>
      </c>
      <c r="W366" s="186">
        <f t="shared" si="93"/>
        <v>-200046</v>
      </c>
      <c r="X366" s="275" t="s">
        <v>5624</v>
      </c>
      <c r="AH366" s="147">
        <v>100</v>
      </c>
      <c r="AI366" s="147" t="s">
        <v>5105</v>
      </c>
      <c r="AJ366" s="186">
        <v>11500000</v>
      </c>
      <c r="AK366" s="147">
        <v>2</v>
      </c>
      <c r="AL366" s="147">
        <f t="shared" si="94"/>
        <v>372</v>
      </c>
      <c r="AM366" s="147">
        <f t="shared" si="95"/>
        <v>4278000000</v>
      </c>
      <c r="AN366" s="147" t="s">
        <v>5107</v>
      </c>
    </row>
    <row r="367" spans="17:45" ht="30">
      <c r="Q367" s="97" t="s">
        <v>5158</v>
      </c>
      <c r="R367" s="93">
        <v>1300000</v>
      </c>
      <c r="S367" t="s">
        <v>25</v>
      </c>
      <c r="T367" s="187" t="s">
        <v>5673</v>
      </c>
      <c r="U367" s="187">
        <v>-42</v>
      </c>
      <c r="V367" s="186">
        <v>2883</v>
      </c>
      <c r="W367" s="186">
        <f t="shared" si="93"/>
        <v>-121086</v>
      </c>
      <c r="X367" s="275" t="s">
        <v>5624</v>
      </c>
      <c r="AH367" s="147">
        <v>101</v>
      </c>
      <c r="AI367" s="147" t="s">
        <v>5111</v>
      </c>
      <c r="AJ367" s="186">
        <v>250000</v>
      </c>
      <c r="AK367" s="147">
        <v>3</v>
      </c>
      <c r="AL367" s="147">
        <f t="shared" si="94"/>
        <v>370</v>
      </c>
      <c r="AM367" s="147">
        <f t="shared" si="95"/>
        <v>92500000</v>
      </c>
      <c r="AN367" s="147"/>
    </row>
    <row r="368" spans="17:45">
      <c r="Q368" s="97" t="s">
        <v>5158</v>
      </c>
      <c r="R368" s="93">
        <v>7300000</v>
      </c>
      <c r="T368" s="19" t="s">
        <v>5686</v>
      </c>
      <c r="U368" s="19">
        <v>25901</v>
      </c>
      <c r="V368" s="115">
        <v>2258.9090000000001</v>
      </c>
      <c r="W368" s="115">
        <f t="shared" si="93"/>
        <v>58508002.009000003</v>
      </c>
      <c r="X368" s="276" t="s">
        <v>5143</v>
      </c>
      <c r="AH368" s="147">
        <v>102</v>
      </c>
      <c r="AI368" s="147" t="s">
        <v>5136</v>
      </c>
      <c r="AJ368" s="186">
        <v>6000000</v>
      </c>
      <c r="AK368" s="147">
        <v>1</v>
      </c>
      <c r="AL368" s="147">
        <f t="shared" si="94"/>
        <v>367</v>
      </c>
      <c r="AM368" s="147">
        <f t="shared" si="95"/>
        <v>2202000000</v>
      </c>
      <c r="AN368" s="147" t="s">
        <v>5107</v>
      </c>
    </row>
    <row r="369" spans="16:45">
      <c r="Q369" s="97" t="s">
        <v>977</v>
      </c>
      <c r="R369" s="93">
        <v>21203</v>
      </c>
      <c r="T369" s="19" t="s">
        <v>5688</v>
      </c>
      <c r="U369" s="19">
        <v>951</v>
      </c>
      <c r="V369" s="115">
        <v>2361.2150799999999</v>
      </c>
      <c r="W369" s="115">
        <f t="shared" si="93"/>
        <v>2245515.5410799999</v>
      </c>
      <c r="X369" s="276" t="s">
        <v>5143</v>
      </c>
      <c r="Z369" t="s">
        <v>25</v>
      </c>
      <c r="AH369" s="147">
        <v>103</v>
      </c>
      <c r="AI369" s="147" t="s">
        <v>5138</v>
      </c>
      <c r="AJ369" s="186">
        <v>1500000</v>
      </c>
      <c r="AK369" s="147">
        <v>6</v>
      </c>
      <c r="AL369" s="147">
        <f t="shared" si="94"/>
        <v>366</v>
      </c>
      <c r="AM369" s="147">
        <f t="shared" si="95"/>
        <v>549000000</v>
      </c>
      <c r="AN369" s="147" t="s">
        <v>5107</v>
      </c>
    </row>
    <row r="370" spans="16:45">
      <c r="Q370" s="97" t="s">
        <v>4258</v>
      </c>
      <c r="R370" s="93">
        <v>34550</v>
      </c>
      <c r="T370" s="19" t="s">
        <v>5690</v>
      </c>
      <c r="U370" s="19">
        <v>7622</v>
      </c>
      <c r="V370" s="115">
        <v>2414.6810999999998</v>
      </c>
      <c r="W370" s="115">
        <f t="shared" si="93"/>
        <v>18404699.3442</v>
      </c>
      <c r="X370" s="276" t="s">
        <v>5143</v>
      </c>
      <c r="AH370" s="20">
        <v>104</v>
      </c>
      <c r="AI370" s="20" t="s">
        <v>960</v>
      </c>
      <c r="AJ370" s="115">
        <v>-3960043</v>
      </c>
      <c r="AK370" s="20">
        <v>2</v>
      </c>
      <c r="AL370" s="20">
        <f t="shared" si="94"/>
        <v>360</v>
      </c>
      <c r="AM370" s="20">
        <f t="shared" si="95"/>
        <v>-1425615480</v>
      </c>
      <c r="AN370" s="20"/>
    </row>
    <row r="371" spans="16:45">
      <c r="Q371" s="97" t="s">
        <v>5156</v>
      </c>
      <c r="R371" s="93">
        <v>-2134406</v>
      </c>
      <c r="T371" s="19" t="s">
        <v>5690</v>
      </c>
      <c r="U371" s="19">
        <v>-282</v>
      </c>
      <c r="V371" s="115">
        <v>2414.6810999999998</v>
      </c>
      <c r="W371" s="115">
        <f t="shared" si="93"/>
        <v>-680940.07019999996</v>
      </c>
      <c r="X371" s="276" t="s">
        <v>5691</v>
      </c>
      <c r="AH371" s="20">
        <v>105</v>
      </c>
      <c r="AI371" s="20" t="s">
        <v>5157</v>
      </c>
      <c r="AJ371" s="115">
        <v>230000</v>
      </c>
      <c r="AK371" s="20">
        <v>0</v>
      </c>
      <c r="AL371" s="20">
        <f t="shared" si="94"/>
        <v>358</v>
      </c>
      <c r="AM371" s="20">
        <f t="shared" si="95"/>
        <v>82340000</v>
      </c>
      <c r="AN371" s="20"/>
    </row>
    <row r="372" spans="16:45">
      <c r="Q372" s="97" t="s">
        <v>5194</v>
      </c>
      <c r="R372" s="93">
        <v>-618906</v>
      </c>
      <c r="T372" s="19" t="s">
        <v>5690</v>
      </c>
      <c r="U372" s="19">
        <v>20162</v>
      </c>
      <c r="V372" s="115">
        <v>2414.6810999999998</v>
      </c>
      <c r="W372" s="115">
        <f t="shared" si="93"/>
        <v>48684800.338199995</v>
      </c>
      <c r="X372" s="276" t="s">
        <v>5692</v>
      </c>
      <c r="AH372" s="147">
        <v>106</v>
      </c>
      <c r="AI372" s="147" t="s">
        <v>5157</v>
      </c>
      <c r="AJ372" s="186">
        <v>230000</v>
      </c>
      <c r="AK372" s="147">
        <v>1</v>
      </c>
      <c r="AL372" s="147">
        <f t="shared" si="94"/>
        <v>358</v>
      </c>
      <c r="AM372" s="147">
        <f t="shared" si="95"/>
        <v>82340000</v>
      </c>
      <c r="AN372" s="147"/>
      <c r="AR372" t="s">
        <v>25</v>
      </c>
    </row>
    <row r="373" spans="16:45">
      <c r="Q373" s="97" t="s">
        <v>5197</v>
      </c>
      <c r="R373" s="93">
        <v>-54615</v>
      </c>
      <c r="T373" s="19" t="s">
        <v>5690</v>
      </c>
      <c r="U373" s="19">
        <v>-20162</v>
      </c>
      <c r="V373" s="115">
        <v>2414.6810999999998</v>
      </c>
      <c r="W373" s="115">
        <f t="shared" si="93"/>
        <v>-48684800.338199995</v>
      </c>
      <c r="X373" s="276" t="s">
        <v>744</v>
      </c>
      <c r="Y373" t="s">
        <v>25</v>
      </c>
      <c r="AA373" t="s">
        <v>25</v>
      </c>
      <c r="AH373" s="147">
        <v>107</v>
      </c>
      <c r="AI373" s="147" t="s">
        <v>5158</v>
      </c>
      <c r="AJ373" s="186">
        <v>500000</v>
      </c>
      <c r="AK373" s="147">
        <v>1</v>
      </c>
      <c r="AL373" s="147">
        <f t="shared" si="94"/>
        <v>357</v>
      </c>
      <c r="AM373" s="147">
        <f t="shared" si="95"/>
        <v>178500000</v>
      </c>
      <c r="AN373" s="147"/>
    </row>
    <row r="374" spans="16:45">
      <c r="Q374" s="97" t="s">
        <v>5240</v>
      </c>
      <c r="R374" s="93">
        <v>18000000</v>
      </c>
      <c r="T374" s="19" t="s">
        <v>5693</v>
      </c>
      <c r="U374" s="19">
        <v>977</v>
      </c>
      <c r="V374" s="115">
        <v>2317.971947</v>
      </c>
      <c r="W374" s="115">
        <f t="shared" si="93"/>
        <v>2264658.5922190002</v>
      </c>
      <c r="X374" s="276" t="s">
        <v>5143</v>
      </c>
      <c r="AH374" s="20">
        <v>108</v>
      </c>
      <c r="AI374" s="20" t="s">
        <v>5161</v>
      </c>
      <c r="AJ374" s="115">
        <v>-880000</v>
      </c>
      <c r="AK374" s="20">
        <v>4</v>
      </c>
      <c r="AL374" s="20">
        <f t="shared" si="94"/>
        <v>356</v>
      </c>
      <c r="AM374" s="20">
        <f t="shared" si="95"/>
        <v>-313280000</v>
      </c>
      <c r="AN374" s="20"/>
      <c r="AS374" t="s">
        <v>25</v>
      </c>
    </row>
    <row r="375" spans="16:45">
      <c r="Q375" s="97" t="s">
        <v>5290</v>
      </c>
      <c r="R375" s="93">
        <v>20000000</v>
      </c>
      <c r="T375" s="19" t="s">
        <v>5695</v>
      </c>
      <c r="U375" s="19">
        <v>10280</v>
      </c>
      <c r="V375" s="115">
        <v>2225.429357</v>
      </c>
      <c r="W375" s="115">
        <f t="shared" si="93"/>
        <v>22877413.789960001</v>
      </c>
      <c r="X375" s="276" t="s">
        <v>5143</v>
      </c>
      <c r="AH375" s="193">
        <v>109</v>
      </c>
      <c r="AI375" s="193" t="s">
        <v>5165</v>
      </c>
      <c r="AJ375" s="194">
        <v>873000</v>
      </c>
      <c r="AK375" s="193">
        <v>0</v>
      </c>
      <c r="AL375" s="193">
        <f t="shared" si="94"/>
        <v>352</v>
      </c>
      <c r="AM375" s="193">
        <f t="shared" si="95"/>
        <v>307296000</v>
      </c>
      <c r="AN375" s="193" t="s">
        <v>5107</v>
      </c>
    </row>
    <row r="376" spans="16:45">
      <c r="Q376" s="97" t="s">
        <v>5300</v>
      </c>
      <c r="R376" s="93">
        <v>27694196</v>
      </c>
      <c r="T376" s="19" t="s">
        <v>5698</v>
      </c>
      <c r="U376" s="19">
        <v>1022</v>
      </c>
      <c r="V376" s="115">
        <v>2311.6824240000001</v>
      </c>
      <c r="W376" s="115">
        <f t="shared" si="93"/>
        <v>2362539.4373280001</v>
      </c>
      <c r="X376" s="276" t="s">
        <v>5143</v>
      </c>
      <c r="AH376" s="20">
        <v>110</v>
      </c>
      <c r="AI376" s="20" t="s">
        <v>5165</v>
      </c>
      <c r="AJ376" s="115">
        <v>127000</v>
      </c>
      <c r="AK376" s="20">
        <v>0</v>
      </c>
      <c r="AL376" s="20">
        <f t="shared" si="94"/>
        <v>352</v>
      </c>
      <c r="AM376" s="20">
        <f t="shared" si="95"/>
        <v>44704000</v>
      </c>
      <c r="AN376" s="20" t="s">
        <v>5107</v>
      </c>
    </row>
    <row r="377" spans="16:45">
      <c r="Q377" s="97" t="s">
        <v>5379</v>
      </c>
      <c r="R377" s="93">
        <v>7211722</v>
      </c>
      <c r="T377" s="19" t="s">
        <v>5699</v>
      </c>
      <c r="U377" s="19">
        <v>6818</v>
      </c>
      <c r="V377" s="115">
        <v>2352.988656</v>
      </c>
      <c r="W377" s="115">
        <f t="shared" si="93"/>
        <v>16042676.656608</v>
      </c>
      <c r="X377" s="276" t="s">
        <v>5143</v>
      </c>
      <c r="Y377" t="s">
        <v>25</v>
      </c>
      <c r="AH377" s="20">
        <v>111</v>
      </c>
      <c r="AI377" s="20" t="s">
        <v>5165</v>
      </c>
      <c r="AJ377" s="115">
        <v>73000</v>
      </c>
      <c r="AK377" s="20">
        <v>1</v>
      </c>
      <c r="AL377" s="20">
        <f t="shared" si="94"/>
        <v>352</v>
      </c>
      <c r="AM377" s="20">
        <f t="shared" si="95"/>
        <v>25696000</v>
      </c>
      <c r="AN377" s="20"/>
      <c r="AR377" t="s">
        <v>25</v>
      </c>
    </row>
    <row r="378" spans="16:45">
      <c r="Q378" s="97" t="s">
        <v>5380</v>
      </c>
      <c r="R378" s="93">
        <v>8481864</v>
      </c>
      <c r="T378" s="19" t="s">
        <v>5700</v>
      </c>
      <c r="U378" s="19">
        <v>8023</v>
      </c>
      <c r="V378" s="115">
        <v>2293.8167079999998</v>
      </c>
      <c r="W378" s="115">
        <f t="shared" si="93"/>
        <v>18403291.448284</v>
      </c>
      <c r="X378" s="276" t="s">
        <v>5143</v>
      </c>
      <c r="AH378" s="20">
        <v>112</v>
      </c>
      <c r="AI378" s="20" t="s">
        <v>977</v>
      </c>
      <c r="AJ378" s="115">
        <v>4300000</v>
      </c>
      <c r="AK378" s="20">
        <v>1</v>
      </c>
      <c r="AL378" s="20">
        <f t="shared" si="94"/>
        <v>351</v>
      </c>
      <c r="AM378" s="20">
        <f t="shared" si="95"/>
        <v>1509300000</v>
      </c>
      <c r="AN378" s="20"/>
    </row>
    <row r="379" spans="16:45">
      <c r="Q379" s="97" t="s">
        <v>5388</v>
      </c>
      <c r="R379" s="93">
        <v>1558697</v>
      </c>
      <c r="T379" s="19" t="s">
        <v>5703</v>
      </c>
      <c r="U379" s="19">
        <v>4666</v>
      </c>
      <c r="V379" s="115">
        <v>2263.4906230000001</v>
      </c>
      <c r="W379" s="115">
        <f t="shared" si="93"/>
        <v>10561447.246918</v>
      </c>
      <c r="X379" s="276" t="s">
        <v>5143</v>
      </c>
      <c r="Y379" t="s">
        <v>25</v>
      </c>
      <c r="AH379" s="20">
        <v>113</v>
      </c>
      <c r="AI379" s="20" t="s">
        <v>5033</v>
      </c>
      <c r="AJ379" s="115">
        <v>1600000</v>
      </c>
      <c r="AK379" s="20">
        <v>0</v>
      </c>
      <c r="AL379" s="20">
        <f t="shared" si="94"/>
        <v>350</v>
      </c>
      <c r="AM379" s="20">
        <f t="shared" si="95"/>
        <v>560000000</v>
      </c>
      <c r="AN379" s="20"/>
    </row>
    <row r="380" spans="16:45">
      <c r="Q380" s="97" t="s">
        <v>5393</v>
      </c>
      <c r="R380" s="93">
        <v>9042009</v>
      </c>
      <c r="T380" s="19" t="s">
        <v>5704</v>
      </c>
      <c r="U380" s="19">
        <v>542</v>
      </c>
      <c r="V380" s="115">
        <v>2263.4906230000001</v>
      </c>
      <c r="W380" s="115">
        <f t="shared" si="93"/>
        <v>1226811.9176660001</v>
      </c>
      <c r="X380" s="276" t="s">
        <v>5143</v>
      </c>
      <c r="AH380" s="20">
        <v>114</v>
      </c>
      <c r="AI380" s="20" t="s">
        <v>4258</v>
      </c>
      <c r="AJ380" s="115">
        <v>-10000000</v>
      </c>
      <c r="AK380" s="20">
        <v>1</v>
      </c>
      <c r="AL380" s="20">
        <f t="shared" si="94"/>
        <v>350</v>
      </c>
      <c r="AM380" s="20">
        <f t="shared" si="95"/>
        <v>-3500000000</v>
      </c>
      <c r="AN380" s="20" t="s">
        <v>5172</v>
      </c>
    </row>
    <row r="381" spans="16:45">
      <c r="Q381" s="97" t="s">
        <v>5394</v>
      </c>
      <c r="R381" s="93">
        <v>94969</v>
      </c>
      <c r="T381" s="19" t="s">
        <v>5705</v>
      </c>
      <c r="U381" s="19">
        <v>16629</v>
      </c>
      <c r="V381" s="115">
        <v>2367.7887540000002</v>
      </c>
      <c r="W381" s="115">
        <f t="shared" si="93"/>
        <v>39373959.190266006</v>
      </c>
      <c r="X381" s="276" t="s">
        <v>5143</v>
      </c>
      <c r="AH381" s="20">
        <v>115</v>
      </c>
      <c r="AI381" s="20" t="s">
        <v>5171</v>
      </c>
      <c r="AJ381" s="115">
        <v>571000</v>
      </c>
      <c r="AK381" s="20">
        <v>4</v>
      </c>
      <c r="AL381" s="20">
        <f t="shared" si="94"/>
        <v>349</v>
      </c>
      <c r="AM381" s="20">
        <f t="shared" si="95"/>
        <v>199279000</v>
      </c>
      <c r="AN381" s="20"/>
      <c r="AP381" t="s">
        <v>25</v>
      </c>
    </row>
    <row r="382" spans="16:45">
      <c r="Q382" s="97" t="s">
        <v>5399</v>
      </c>
      <c r="R382" s="93">
        <v>40000000</v>
      </c>
      <c r="T382" s="19" t="s">
        <v>5710</v>
      </c>
      <c r="U382" s="19">
        <v>11765</v>
      </c>
      <c r="V382" s="115">
        <v>2354.7375320000001</v>
      </c>
      <c r="W382" s="115">
        <f t="shared" si="93"/>
        <v>27703487.063980002</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5399</v>
      </c>
      <c r="R383" s="93">
        <v>2806274</v>
      </c>
      <c r="T383" s="19" t="s">
        <v>5711</v>
      </c>
      <c r="U383" s="19">
        <v>3672</v>
      </c>
      <c r="V383" s="115">
        <v>2379.873826</v>
      </c>
      <c r="W383" s="115">
        <f t="shared" si="93"/>
        <v>8738896.6890719999</v>
      </c>
      <c r="X383" s="276" t="s">
        <v>5143</v>
      </c>
      <c r="AH383" s="147">
        <v>117</v>
      </c>
      <c r="AI383" s="147" t="s">
        <v>5179</v>
      </c>
      <c r="AJ383" s="186">
        <v>50000</v>
      </c>
      <c r="AK383" s="147">
        <v>7</v>
      </c>
      <c r="AL383" s="147">
        <f t="shared" si="96"/>
        <v>342</v>
      </c>
      <c r="AM383" s="147">
        <f t="shared" si="97"/>
        <v>17100000</v>
      </c>
      <c r="AN383" s="147"/>
    </row>
    <row r="384" spans="16:45">
      <c r="P384" t="s">
        <v>25</v>
      </c>
      <c r="Q384" s="97" t="s">
        <v>5400</v>
      </c>
      <c r="R384" s="93">
        <v>1331702</v>
      </c>
      <c r="T384" s="19" t="s">
        <v>4187</v>
      </c>
      <c r="U384" s="19">
        <v>140</v>
      </c>
      <c r="V384" s="115">
        <v>2487.154767</v>
      </c>
      <c r="W384" s="115">
        <f t="shared" si="93"/>
        <v>348201.66738</v>
      </c>
      <c r="X384" s="276" t="s">
        <v>5143</v>
      </c>
      <c r="AH384" s="20">
        <v>118</v>
      </c>
      <c r="AI384" s="20" t="s">
        <v>5187</v>
      </c>
      <c r="AJ384" s="115">
        <v>-500000</v>
      </c>
      <c r="AK384" s="20">
        <v>12</v>
      </c>
      <c r="AL384" s="20">
        <f t="shared" si="96"/>
        <v>335</v>
      </c>
      <c r="AM384" s="20">
        <f t="shared" si="97"/>
        <v>-167500000</v>
      </c>
      <c r="AN384" s="20"/>
    </row>
    <row r="385" spans="17:45">
      <c r="Q385" s="97" t="s">
        <v>5409</v>
      </c>
      <c r="R385" s="93">
        <v>851238</v>
      </c>
      <c r="T385" s="19" t="s">
        <v>5713</v>
      </c>
      <c r="U385" s="19">
        <v>1616</v>
      </c>
      <c r="V385" s="115">
        <v>2573.0760479999999</v>
      </c>
      <c r="W385" s="115">
        <f t="shared" si="93"/>
        <v>4158090.8935679998</v>
      </c>
      <c r="X385" s="276" t="s">
        <v>5143</v>
      </c>
      <c r="AH385" s="147">
        <v>119</v>
      </c>
      <c r="AI385" s="147" t="s">
        <v>976</v>
      </c>
      <c r="AJ385" s="186">
        <v>-50000</v>
      </c>
      <c r="AK385" s="147">
        <v>0</v>
      </c>
      <c r="AL385" s="147">
        <f t="shared" si="96"/>
        <v>323</v>
      </c>
      <c r="AM385" s="147">
        <f t="shared" si="97"/>
        <v>-16150000</v>
      </c>
      <c r="AN385" s="147"/>
    </row>
    <row r="386" spans="17:45">
      <c r="Q386" s="97" t="s">
        <v>5446</v>
      </c>
      <c r="R386" s="93">
        <v>652592</v>
      </c>
      <c r="T386" s="187" t="s">
        <v>5714</v>
      </c>
      <c r="U386" s="187">
        <v>-2272</v>
      </c>
      <c r="V386" s="186">
        <v>2639.970566</v>
      </c>
      <c r="W386" s="186">
        <f t="shared" si="93"/>
        <v>-5998013.1259519998</v>
      </c>
      <c r="X386" s="275" t="s">
        <v>5725</v>
      </c>
      <c r="AH386" s="20">
        <v>120</v>
      </c>
      <c r="AI386" s="20" t="s">
        <v>976</v>
      </c>
      <c r="AJ386" s="115">
        <v>-50000</v>
      </c>
      <c r="AK386" s="20">
        <v>28</v>
      </c>
      <c r="AL386" s="20">
        <f t="shared" si="96"/>
        <v>323</v>
      </c>
      <c r="AM386" s="20">
        <f t="shared" si="97"/>
        <v>-16150000</v>
      </c>
      <c r="AN386" s="20"/>
      <c r="AQ386" t="s">
        <v>25</v>
      </c>
    </row>
    <row r="387" spans="17:45">
      <c r="Q387" s="97" t="s">
        <v>5504</v>
      </c>
      <c r="R387" s="93">
        <v>554139</v>
      </c>
      <c r="T387" s="19" t="s">
        <v>5714</v>
      </c>
      <c r="U387" s="19">
        <v>2272</v>
      </c>
      <c r="V387" s="115">
        <v>2639.970566</v>
      </c>
      <c r="W387" s="115">
        <f t="shared" si="93"/>
        <v>5998013.1259519998</v>
      </c>
      <c r="X387" s="276" t="s">
        <v>5724</v>
      </c>
      <c r="Z387" t="s">
        <v>25</v>
      </c>
      <c r="AF387" s="94" t="s">
        <v>25</v>
      </c>
      <c r="AH387" s="20">
        <v>121</v>
      </c>
      <c r="AI387" s="20" t="s">
        <v>5229</v>
      </c>
      <c r="AJ387" s="115">
        <v>-3020625</v>
      </c>
      <c r="AK387" s="20">
        <v>18</v>
      </c>
      <c r="AL387" s="20">
        <f t="shared" si="96"/>
        <v>295</v>
      </c>
      <c r="AM387" s="20">
        <f t="shared" si="97"/>
        <v>-891084375</v>
      </c>
      <c r="AN387" s="20"/>
    </row>
    <row r="388" spans="17:45" ht="30">
      <c r="Q388" s="97" t="s">
        <v>5505</v>
      </c>
      <c r="R388" s="93">
        <v>70373089</v>
      </c>
      <c r="T388" s="19" t="s">
        <v>5714</v>
      </c>
      <c r="U388" s="19">
        <v>4434</v>
      </c>
      <c r="V388" s="115">
        <v>2639.970566</v>
      </c>
      <c r="W388" s="115">
        <f t="shared" si="93"/>
        <v>11705629.489644</v>
      </c>
      <c r="X388" s="276" t="s">
        <v>5726</v>
      </c>
      <c r="AA388" t="s">
        <v>25</v>
      </c>
      <c r="AH388" s="20">
        <v>122</v>
      </c>
      <c r="AI388" s="20" t="s">
        <v>5240</v>
      </c>
      <c r="AJ388" s="115">
        <v>18000000</v>
      </c>
      <c r="AK388" s="20">
        <v>19</v>
      </c>
      <c r="AL388" s="20">
        <f t="shared" si="96"/>
        <v>277</v>
      </c>
      <c r="AM388" s="20">
        <f t="shared" si="97"/>
        <v>4986000000</v>
      </c>
      <c r="AN388" s="20"/>
      <c r="AS388" t="s">
        <v>25</v>
      </c>
    </row>
    <row r="389" spans="17:45" ht="30">
      <c r="Q389" s="97" t="s">
        <v>5506</v>
      </c>
      <c r="R389" s="93">
        <v>1219655</v>
      </c>
      <c r="S389" t="s">
        <v>25</v>
      </c>
      <c r="T389" s="187" t="s">
        <v>5714</v>
      </c>
      <c r="U389" s="187">
        <v>-2349</v>
      </c>
      <c r="V389" s="186">
        <v>2639.970566</v>
      </c>
      <c r="W389" s="186">
        <f t="shared" si="93"/>
        <v>-6201290.859534</v>
      </c>
      <c r="X389" s="275" t="s">
        <v>5727</v>
      </c>
      <c r="AH389" s="20">
        <v>123</v>
      </c>
      <c r="AI389" s="20" t="s">
        <v>5268</v>
      </c>
      <c r="AJ389" s="115">
        <v>2000000</v>
      </c>
      <c r="AK389" s="20">
        <v>6</v>
      </c>
      <c r="AL389" s="20">
        <f t="shared" si="96"/>
        <v>258</v>
      </c>
      <c r="AM389" s="20">
        <f t="shared" si="97"/>
        <v>516000000</v>
      </c>
      <c r="AN389" s="20"/>
    </row>
    <row r="390" spans="17:45">
      <c r="Q390" s="97" t="s">
        <v>5507</v>
      </c>
      <c r="R390" s="93">
        <v>15350146</v>
      </c>
      <c r="T390" s="19" t="s">
        <v>5714</v>
      </c>
      <c r="U390" s="19">
        <v>2349</v>
      </c>
      <c r="V390" s="115">
        <v>2639.970566</v>
      </c>
      <c r="W390" s="115">
        <f t="shared" si="93"/>
        <v>6201290.859534</v>
      </c>
      <c r="X390" s="276" t="s">
        <v>5728</v>
      </c>
      <c r="AA390" t="s">
        <v>25</v>
      </c>
      <c r="AH390" s="147">
        <v>124</v>
      </c>
      <c r="AI390" s="147" t="s">
        <v>5279</v>
      </c>
      <c r="AJ390" s="186">
        <v>40000000</v>
      </c>
      <c r="AK390" s="147">
        <v>6</v>
      </c>
      <c r="AL390" s="147">
        <f t="shared" si="96"/>
        <v>252</v>
      </c>
      <c r="AM390" s="147">
        <f t="shared" si="97"/>
        <v>10080000000</v>
      </c>
      <c r="AN390" s="147"/>
    </row>
    <row r="391" spans="17:45" ht="30">
      <c r="Q391" s="97" t="s">
        <v>5508</v>
      </c>
      <c r="R391" s="93">
        <v>121018</v>
      </c>
      <c r="T391" s="19" t="s">
        <v>5714</v>
      </c>
      <c r="U391" s="19">
        <v>-568</v>
      </c>
      <c r="V391" s="115">
        <v>2639.970566</v>
      </c>
      <c r="W391" s="115">
        <f t="shared" si="93"/>
        <v>-1499503.2814879999</v>
      </c>
      <c r="X391" s="276" t="s">
        <v>5729</v>
      </c>
      <c r="AA391" t="s">
        <v>25</v>
      </c>
      <c r="AH391" s="20">
        <v>125</v>
      </c>
      <c r="AI391" s="20" t="s">
        <v>5290</v>
      </c>
      <c r="AJ391" s="115">
        <v>200000</v>
      </c>
      <c r="AK391" s="20">
        <v>0</v>
      </c>
      <c r="AL391" s="20">
        <f t="shared" si="96"/>
        <v>246</v>
      </c>
      <c r="AM391" s="20">
        <f t="shared" si="97"/>
        <v>49200000</v>
      </c>
      <c r="AN391" s="20"/>
    </row>
    <row r="392" spans="17:45" ht="30">
      <c r="Q392" s="97" t="s">
        <v>5512</v>
      </c>
      <c r="R392" s="93">
        <v>1024993</v>
      </c>
      <c r="T392" s="19" t="s">
        <v>5714</v>
      </c>
      <c r="U392" s="19">
        <v>568</v>
      </c>
      <c r="V392" s="115">
        <v>2639.970566</v>
      </c>
      <c r="W392" s="115">
        <f t="shared" si="93"/>
        <v>1499503.2814879999</v>
      </c>
      <c r="X392" s="276" t="s">
        <v>5729</v>
      </c>
      <c r="Z392" t="s">
        <v>25</v>
      </c>
      <c r="AH392" s="147">
        <v>126</v>
      </c>
      <c r="AI392" s="147" t="s">
        <v>5290</v>
      </c>
      <c r="AJ392" s="186">
        <v>200000</v>
      </c>
      <c r="AK392" s="147">
        <v>1</v>
      </c>
      <c r="AL392" s="147">
        <f t="shared" si="96"/>
        <v>246</v>
      </c>
      <c r="AM392" s="147">
        <f t="shared" si="97"/>
        <v>49200000</v>
      </c>
      <c r="AN392" s="147"/>
    </row>
    <row r="393" spans="17:45">
      <c r="Q393" s="97" t="s">
        <v>5528</v>
      </c>
      <c r="R393" s="93">
        <v>1948077</v>
      </c>
      <c r="T393" s="19" t="s">
        <v>5718</v>
      </c>
      <c r="U393" s="19">
        <v>4589</v>
      </c>
      <c r="V393" s="115">
        <v>2639.970566</v>
      </c>
      <c r="W393" s="115">
        <f t="shared" si="93"/>
        <v>12114824.927374</v>
      </c>
      <c r="X393" s="276" t="s">
        <v>5732</v>
      </c>
      <c r="AH393" s="20">
        <v>127</v>
      </c>
      <c r="AI393" s="20" t="s">
        <v>5294</v>
      </c>
      <c r="AJ393" s="115">
        <v>50000</v>
      </c>
      <c r="AK393" s="20">
        <v>4</v>
      </c>
      <c r="AL393" s="20">
        <f t="shared" si="96"/>
        <v>245</v>
      </c>
      <c r="AM393" s="20">
        <f t="shared" si="97"/>
        <v>12250000</v>
      </c>
      <c r="AN393" s="20"/>
      <c r="AR393" t="s">
        <v>25</v>
      </c>
    </row>
    <row r="394" spans="17:45">
      <c r="Q394" s="97" t="s">
        <v>5529</v>
      </c>
      <c r="R394" s="93">
        <v>50000120</v>
      </c>
      <c r="T394" s="19" t="s">
        <v>5718</v>
      </c>
      <c r="U394" s="19">
        <v>41959</v>
      </c>
      <c r="V394" s="115">
        <v>2639.970566</v>
      </c>
      <c r="W394" s="115">
        <f t="shared" ref="W394:W410" si="98">U394*V394</f>
        <v>110770524.97879399</v>
      </c>
      <c r="X394" s="276" t="s">
        <v>5143</v>
      </c>
      <c r="AH394" s="20">
        <v>128</v>
      </c>
      <c r="AI394" s="20" t="s">
        <v>5297</v>
      </c>
      <c r="AJ394" s="115">
        <v>100000</v>
      </c>
      <c r="AK394" s="20">
        <v>9</v>
      </c>
      <c r="AL394" s="20">
        <f t="shared" ref="AL394:AL404" si="99">AK394+AL395</f>
        <v>241</v>
      </c>
      <c r="AM394" s="20">
        <f t="shared" ref="AM394:AM404" si="100">AJ394*AL394</f>
        <v>24100000</v>
      </c>
      <c r="AN394" s="20"/>
    </row>
    <row r="395" spans="17:45">
      <c r="Q395" s="97" t="s">
        <v>5530</v>
      </c>
      <c r="R395" s="93">
        <v>20000055</v>
      </c>
      <c r="T395" s="19" t="s">
        <v>5735</v>
      </c>
      <c r="U395" s="19">
        <v>2486</v>
      </c>
      <c r="V395" s="115">
        <v>2688.7156100000002</v>
      </c>
      <c r="W395" s="115">
        <f t="shared" si="98"/>
        <v>6684147.0064600008</v>
      </c>
      <c r="X395" s="276" t="s">
        <v>5143</v>
      </c>
      <c r="AH395" s="20">
        <v>129</v>
      </c>
      <c r="AI395" s="20" t="s">
        <v>5315</v>
      </c>
      <c r="AJ395" s="115">
        <v>-550000</v>
      </c>
      <c r="AK395" s="20">
        <v>5</v>
      </c>
      <c r="AL395" s="20">
        <f t="shared" si="99"/>
        <v>232</v>
      </c>
      <c r="AM395" s="20">
        <f t="shared" si="100"/>
        <v>-127600000</v>
      </c>
      <c r="AN395" s="20"/>
    </row>
    <row r="396" spans="17:45">
      <c r="Q396" s="97" t="s">
        <v>5561</v>
      </c>
      <c r="R396" s="93">
        <v>5745697</v>
      </c>
      <c r="T396" s="19" t="s">
        <v>5740</v>
      </c>
      <c r="U396" s="19">
        <v>652</v>
      </c>
      <c r="V396" s="115">
        <v>2801.4344030000002</v>
      </c>
      <c r="W396" s="115">
        <f t="shared" si="98"/>
        <v>1826535.2307560001</v>
      </c>
      <c r="X396" s="276" t="s">
        <v>5143</v>
      </c>
      <c r="Y396" t="s">
        <v>25</v>
      </c>
      <c r="AH396" s="20">
        <v>130</v>
      </c>
      <c r="AI396" s="20" t="s">
        <v>5320</v>
      </c>
      <c r="AJ396" s="115">
        <v>-29686490</v>
      </c>
      <c r="AK396" s="20">
        <v>1</v>
      </c>
      <c r="AL396" s="20">
        <f t="shared" si="99"/>
        <v>227</v>
      </c>
      <c r="AM396" s="20">
        <f t="shared" si="100"/>
        <v>-6738833230</v>
      </c>
      <c r="AN396" s="20"/>
    </row>
    <row r="397" spans="17:45">
      <c r="Q397" s="97" t="s">
        <v>5562</v>
      </c>
      <c r="R397" s="93">
        <v>908158</v>
      </c>
      <c r="T397" s="187" t="s">
        <v>5740</v>
      </c>
      <c r="U397" s="187">
        <v>-536</v>
      </c>
      <c r="V397" s="186">
        <v>2801.4344030000002</v>
      </c>
      <c r="W397" s="186">
        <f t="shared" si="98"/>
        <v>-1501568.8400080001</v>
      </c>
      <c r="X397" s="275" t="s">
        <v>5754</v>
      </c>
      <c r="AH397" s="20">
        <v>131</v>
      </c>
      <c r="AI397" s="20" t="s">
        <v>5330</v>
      </c>
      <c r="AJ397" s="115">
        <v>-9000000</v>
      </c>
      <c r="AK397" s="20">
        <v>8</v>
      </c>
      <c r="AL397" s="20">
        <f t="shared" si="99"/>
        <v>226</v>
      </c>
      <c r="AM397" s="20">
        <f t="shared" si="100"/>
        <v>-2034000000</v>
      </c>
      <c r="AN397" s="20"/>
    </row>
    <row r="398" spans="17:45" ht="21" customHeight="1">
      <c r="Q398" s="97" t="s">
        <v>5563</v>
      </c>
      <c r="R398" s="93">
        <v>12642697</v>
      </c>
      <c r="T398" s="19" t="s">
        <v>5744</v>
      </c>
      <c r="U398" s="19">
        <v>1351</v>
      </c>
      <c r="V398" s="115">
        <v>2647.94</v>
      </c>
      <c r="W398" s="115">
        <f t="shared" si="98"/>
        <v>3577366.94</v>
      </c>
      <c r="X398" s="276" t="s">
        <v>5143</v>
      </c>
      <c r="AH398" s="20">
        <v>132</v>
      </c>
      <c r="AI398" s="20" t="s">
        <v>5375</v>
      </c>
      <c r="AJ398" s="115">
        <v>810000</v>
      </c>
      <c r="AK398" s="20">
        <v>2</v>
      </c>
      <c r="AL398" s="20">
        <f t="shared" si="99"/>
        <v>218</v>
      </c>
      <c r="AM398" s="20">
        <f t="shared" si="100"/>
        <v>176580000</v>
      </c>
      <c r="AN398" s="20"/>
    </row>
    <row r="399" spans="17:45">
      <c r="Q399" s="97" t="s">
        <v>5564</v>
      </c>
      <c r="R399" s="93">
        <v>12297317.81435</v>
      </c>
      <c r="T399" s="19" t="s">
        <v>5746</v>
      </c>
      <c r="U399" s="19">
        <v>8402</v>
      </c>
      <c r="V399" s="115">
        <v>2527.8539839999999</v>
      </c>
      <c r="W399" s="115">
        <f t="shared" si="98"/>
        <v>21239029.173567999</v>
      </c>
      <c r="X399" s="276" t="s">
        <v>5143</v>
      </c>
      <c r="AH399" s="20">
        <v>133</v>
      </c>
      <c r="AI399" s="20" t="s">
        <v>5380</v>
      </c>
      <c r="AJ399" s="115">
        <v>-5000000</v>
      </c>
      <c r="AK399" s="20">
        <v>3</v>
      </c>
      <c r="AL399" s="20">
        <f t="shared" si="99"/>
        <v>216</v>
      </c>
      <c r="AM399" s="20">
        <f t="shared" si="100"/>
        <v>-1080000000</v>
      </c>
      <c r="AN399" s="20"/>
    </row>
    <row r="400" spans="17:45" ht="18" customHeight="1">
      <c r="Q400" s="97" t="s">
        <v>5565</v>
      </c>
      <c r="R400" s="93">
        <v>8959643.8508579992</v>
      </c>
      <c r="T400" s="19" t="s">
        <v>5751</v>
      </c>
      <c r="U400" s="19">
        <v>98141</v>
      </c>
      <c r="V400" s="115">
        <v>2475.593813</v>
      </c>
      <c r="W400" s="115">
        <f t="shared" si="98"/>
        <v>242957252.40163299</v>
      </c>
      <c r="X400" s="276" t="s">
        <v>5143</v>
      </c>
      <c r="Y400" t="s">
        <v>25</v>
      </c>
      <c r="AH400" s="20">
        <v>134</v>
      </c>
      <c r="AI400" s="20" t="s">
        <v>5388</v>
      </c>
      <c r="AJ400" s="115">
        <v>-26000000</v>
      </c>
      <c r="AK400" s="20">
        <v>0</v>
      </c>
      <c r="AL400" s="20">
        <f t="shared" si="99"/>
        <v>213</v>
      </c>
      <c r="AM400" s="20">
        <f t="shared" si="100"/>
        <v>-5538000000</v>
      </c>
      <c r="AN400" s="20"/>
    </row>
    <row r="401" spans="17:45" ht="21" customHeight="1">
      <c r="Q401" s="97" t="s">
        <v>5566</v>
      </c>
      <c r="R401" s="93">
        <v>15154095.839328</v>
      </c>
      <c r="T401" s="19" t="s">
        <v>5756</v>
      </c>
      <c r="U401" s="19">
        <v>2910</v>
      </c>
      <c r="V401" s="115">
        <v>2528.240988</v>
      </c>
      <c r="W401" s="115">
        <f t="shared" si="98"/>
        <v>7357181.2750800001</v>
      </c>
      <c r="X401" s="276" t="s">
        <v>5143</v>
      </c>
      <c r="Z401" t="s">
        <v>25</v>
      </c>
      <c r="AD401" t="s">
        <v>25</v>
      </c>
      <c r="AH401" s="252">
        <v>135</v>
      </c>
      <c r="AI401" s="252" t="s">
        <v>5388</v>
      </c>
      <c r="AJ401" s="243">
        <v>-26000000</v>
      </c>
      <c r="AK401" s="252">
        <v>1</v>
      </c>
      <c r="AL401" s="252">
        <f t="shared" si="99"/>
        <v>213</v>
      </c>
      <c r="AM401" s="252">
        <f t="shared" si="100"/>
        <v>-5538000000</v>
      </c>
      <c r="AN401" s="252"/>
    </row>
    <row r="402" spans="17:45">
      <c r="Q402" s="97" t="s">
        <v>5587</v>
      </c>
      <c r="R402" s="93">
        <v>50725508.571864001</v>
      </c>
      <c r="T402" s="19" t="s">
        <v>5760</v>
      </c>
      <c r="U402" s="19">
        <v>5652</v>
      </c>
      <c r="V402" s="115">
        <v>2645.3312000000001</v>
      </c>
      <c r="W402" s="115">
        <f t="shared" si="98"/>
        <v>14951411.942400001</v>
      </c>
      <c r="X402" s="276" t="s">
        <v>5143</v>
      </c>
      <c r="Z402" t="s">
        <v>25</v>
      </c>
      <c r="AH402" s="20">
        <v>136</v>
      </c>
      <c r="AI402" s="20" t="s">
        <v>5393</v>
      </c>
      <c r="AJ402" s="115">
        <v>-81800000</v>
      </c>
      <c r="AK402" s="20">
        <v>0</v>
      </c>
      <c r="AL402" s="20">
        <f t="shared" si="99"/>
        <v>212</v>
      </c>
      <c r="AM402" s="20">
        <f t="shared" si="100"/>
        <v>-17341600000</v>
      </c>
      <c r="AN402" s="20"/>
      <c r="AS402" t="s">
        <v>25</v>
      </c>
    </row>
    <row r="403" spans="17:45">
      <c r="Q403" s="97" t="s">
        <v>5589</v>
      </c>
      <c r="R403" s="93">
        <v>2281961.458596</v>
      </c>
      <c r="T403" s="19" t="s">
        <v>5764</v>
      </c>
      <c r="U403" s="19">
        <v>18764</v>
      </c>
      <c r="V403" s="115">
        <v>2554.2639829999998</v>
      </c>
      <c r="W403" s="115">
        <f t="shared" si="98"/>
        <v>47928209.377011999</v>
      </c>
      <c r="X403" s="276" t="s">
        <v>5143</v>
      </c>
      <c r="Y403" t="s">
        <v>25</v>
      </c>
      <c r="AH403" s="252">
        <v>137</v>
      </c>
      <c r="AI403" s="252" t="s">
        <v>5393</v>
      </c>
      <c r="AJ403" s="243">
        <v>-110000000</v>
      </c>
      <c r="AK403" s="252">
        <v>1</v>
      </c>
      <c r="AL403" s="252">
        <f t="shared" si="99"/>
        <v>212</v>
      </c>
      <c r="AM403" s="252">
        <f t="shared" si="100"/>
        <v>-23320000000</v>
      </c>
      <c r="AN403" s="252"/>
    </row>
    <row r="404" spans="17:45">
      <c r="Q404" s="97" t="s">
        <v>5596</v>
      </c>
      <c r="R404" s="93">
        <v>10998285</v>
      </c>
      <c r="T404" s="19" t="s">
        <v>5767</v>
      </c>
      <c r="U404" s="19">
        <v>930</v>
      </c>
      <c r="V404" s="115">
        <v>2453.3287089999999</v>
      </c>
      <c r="W404" s="115">
        <f t="shared" si="98"/>
        <v>2281595.69937</v>
      </c>
      <c r="X404" s="276" t="s">
        <v>5143</v>
      </c>
      <c r="AH404" s="20">
        <v>138</v>
      </c>
      <c r="AI404" s="20" t="s">
        <v>5394</v>
      </c>
      <c r="AJ404" s="115">
        <v>-34000000</v>
      </c>
      <c r="AK404" s="20">
        <v>0</v>
      </c>
      <c r="AL404" s="20">
        <f t="shared" si="99"/>
        <v>211</v>
      </c>
      <c r="AM404" s="20">
        <f t="shared" si="100"/>
        <v>-7174000000</v>
      </c>
      <c r="AN404" s="20"/>
    </row>
    <row r="405" spans="17:45">
      <c r="Q405" s="97" t="s">
        <v>5597</v>
      </c>
      <c r="R405" s="93">
        <v>983018.96187300002</v>
      </c>
      <c r="T405" s="19" t="s">
        <v>5770</v>
      </c>
      <c r="U405" s="19">
        <v>1167</v>
      </c>
      <c r="V405" s="115">
        <v>2540.6307069999998</v>
      </c>
      <c r="W405" s="115">
        <f t="shared" si="98"/>
        <v>2964916.035069</v>
      </c>
      <c r="X405" s="276" t="s">
        <v>5143</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5599</v>
      </c>
      <c r="R406" s="93">
        <v>17049271.032000002</v>
      </c>
      <c r="T406" s="19" t="s">
        <v>5772</v>
      </c>
      <c r="U406" s="19">
        <v>2538</v>
      </c>
      <c r="V406" s="115">
        <v>2545.5277489999999</v>
      </c>
      <c r="W406" s="115">
        <f t="shared" si="98"/>
        <v>6460549.4269619994</v>
      </c>
      <c r="X406" s="276" t="s">
        <v>5143</v>
      </c>
      <c r="AH406" s="20">
        <v>140</v>
      </c>
      <c r="AI406" s="20" t="s">
        <v>5409</v>
      </c>
      <c r="AJ406" s="115">
        <v>1000000</v>
      </c>
      <c r="AK406" s="20">
        <v>0</v>
      </c>
      <c r="AL406" s="20">
        <f t="shared" si="101"/>
        <v>206</v>
      </c>
      <c r="AM406" s="20">
        <f t="shared" si="102"/>
        <v>206000000</v>
      </c>
      <c r="AN406" s="20"/>
    </row>
    <row r="407" spans="17:45">
      <c r="Q407" s="97" t="s">
        <v>5602</v>
      </c>
      <c r="R407" s="93">
        <v>6829998</v>
      </c>
      <c r="T407" s="19" t="s">
        <v>5776</v>
      </c>
      <c r="U407" s="19">
        <v>2106</v>
      </c>
      <c r="V407" s="115">
        <v>2474.9857059999999</v>
      </c>
      <c r="W407" s="115">
        <f t="shared" si="98"/>
        <v>5212319.8968359996</v>
      </c>
      <c r="X407" s="276" t="s">
        <v>5143</v>
      </c>
      <c r="Y407" t="s">
        <v>25</v>
      </c>
      <c r="Z407" t="s">
        <v>25</v>
      </c>
      <c r="AH407" s="147">
        <v>141</v>
      </c>
      <c r="AI407" s="147" t="s">
        <v>5409</v>
      </c>
      <c r="AJ407" s="186">
        <v>1000000</v>
      </c>
      <c r="AK407" s="147">
        <v>4</v>
      </c>
      <c r="AL407" s="147">
        <f t="shared" si="101"/>
        <v>206</v>
      </c>
      <c r="AM407" s="147">
        <f t="shared" si="102"/>
        <v>206000000</v>
      </c>
      <c r="AN407" s="147"/>
    </row>
    <row r="408" spans="17:45">
      <c r="Q408" s="97" t="s">
        <v>4214</v>
      </c>
      <c r="R408" s="93">
        <v>6982608.8207999999</v>
      </c>
      <c r="T408" s="19" t="s">
        <v>5782</v>
      </c>
      <c r="U408" s="19">
        <v>1801</v>
      </c>
      <c r="V408" s="115">
        <v>2512.2134809999998</v>
      </c>
      <c r="W408" s="115">
        <f t="shared" si="98"/>
        <v>4524496.4792809999</v>
      </c>
      <c r="X408" s="276" t="s">
        <v>5143</v>
      </c>
      <c r="Y408" t="s">
        <v>25</v>
      </c>
      <c r="AH408" s="20">
        <v>142</v>
      </c>
      <c r="AI408" s="20" t="s">
        <v>5415</v>
      </c>
      <c r="AJ408" s="115">
        <v>400000</v>
      </c>
      <c r="AK408" s="20">
        <v>0</v>
      </c>
      <c r="AL408" s="20">
        <f t="shared" si="101"/>
        <v>202</v>
      </c>
      <c r="AM408" s="20">
        <f t="shared" si="102"/>
        <v>80800000</v>
      </c>
      <c r="AN408" s="20"/>
    </row>
    <row r="409" spans="17:45">
      <c r="Q409" s="97" t="s">
        <v>5626</v>
      </c>
      <c r="R409" s="93">
        <v>7510131.0216000006</v>
      </c>
      <c r="T409" s="19" t="s">
        <v>5785</v>
      </c>
      <c r="U409" s="19">
        <v>9184</v>
      </c>
      <c r="V409" s="115">
        <v>2489.76919</v>
      </c>
      <c r="W409" s="115">
        <f t="shared" si="98"/>
        <v>22866040.240959998</v>
      </c>
      <c r="X409" s="276" t="s">
        <v>5143</v>
      </c>
      <c r="Z409" t="s">
        <v>25</v>
      </c>
      <c r="AH409" s="147">
        <v>143</v>
      </c>
      <c r="AI409" s="147" t="s">
        <v>5415</v>
      </c>
      <c r="AJ409" s="186">
        <v>400000</v>
      </c>
      <c r="AK409" s="147">
        <v>35</v>
      </c>
      <c r="AL409" s="147">
        <f t="shared" si="101"/>
        <v>202</v>
      </c>
      <c r="AM409" s="147">
        <f t="shared" si="102"/>
        <v>80800000</v>
      </c>
      <c r="AN409" s="147"/>
    </row>
    <row r="410" spans="17:45">
      <c r="Q410" s="97" t="s">
        <v>5633</v>
      </c>
      <c r="R410" s="93">
        <v>7278025.5327000003</v>
      </c>
      <c r="S410" t="s">
        <v>25</v>
      </c>
      <c r="T410" s="19" t="s">
        <v>4214</v>
      </c>
      <c r="U410" s="19">
        <v>6259</v>
      </c>
      <c r="V410" s="115">
        <v>2453.954988</v>
      </c>
      <c r="W410" s="115">
        <f t="shared" si="98"/>
        <v>15359304.269892</v>
      </c>
      <c r="X410" s="276" t="s">
        <v>5143</v>
      </c>
      <c r="Y410" t="s">
        <v>25</v>
      </c>
      <c r="AH410" s="20">
        <v>144</v>
      </c>
      <c r="AI410" s="20" t="s">
        <v>5456</v>
      </c>
      <c r="AJ410" s="115">
        <v>3000000</v>
      </c>
      <c r="AK410" s="20">
        <v>0</v>
      </c>
      <c r="AL410" s="20">
        <f t="shared" si="101"/>
        <v>167</v>
      </c>
      <c r="AM410" s="20">
        <f t="shared" si="102"/>
        <v>501000000</v>
      </c>
      <c r="AN410" s="20"/>
    </row>
    <row r="411" spans="17:45">
      <c r="Q411" s="97" t="s">
        <v>5642</v>
      </c>
      <c r="R411" s="93">
        <v>195059.35799999998</v>
      </c>
      <c r="T411" s="19"/>
      <c r="U411" s="19"/>
      <c r="V411" s="115"/>
      <c r="W411" s="115"/>
      <c r="X411" s="276"/>
      <c r="Y411" t="s">
        <v>25</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5647</v>
      </c>
      <c r="R412" s="93">
        <v>862577.83200000005</v>
      </c>
      <c r="T412" s="19"/>
      <c r="U412" s="19"/>
      <c r="V412" s="115"/>
      <c r="W412" s="115"/>
      <c r="X412" s="276"/>
      <c r="Y412" t="s">
        <v>25</v>
      </c>
      <c r="AH412" s="147">
        <v>146</v>
      </c>
      <c r="AI412" s="147" t="s">
        <v>5341</v>
      </c>
      <c r="AJ412" s="186">
        <v>-8644090</v>
      </c>
      <c r="AK412" s="147">
        <v>0</v>
      </c>
      <c r="AL412" s="147">
        <f t="shared" si="103"/>
        <v>148</v>
      </c>
      <c r="AM412" s="147">
        <f t="shared" si="104"/>
        <v>-1279325320</v>
      </c>
      <c r="AN412" s="147" t="s">
        <v>4752</v>
      </c>
    </row>
    <row r="413" spans="17:45">
      <c r="Q413" s="97" t="s">
        <v>5649</v>
      </c>
      <c r="R413" s="93">
        <v>920308.446</v>
      </c>
      <c r="T413" s="19"/>
      <c r="U413" s="19"/>
      <c r="V413" s="115"/>
      <c r="W413" s="115"/>
      <c r="X413" s="276"/>
      <c r="AH413" s="20">
        <v>147</v>
      </c>
      <c r="AI413" s="20" t="s">
        <v>5341</v>
      </c>
      <c r="AJ413" s="115">
        <v>-65461942</v>
      </c>
      <c r="AK413" s="20">
        <v>1</v>
      </c>
      <c r="AL413" s="20">
        <f t="shared" si="103"/>
        <v>148</v>
      </c>
      <c r="AM413" s="20">
        <f t="shared" si="104"/>
        <v>-9688367416</v>
      </c>
      <c r="AN413" s="20" t="s">
        <v>4752</v>
      </c>
      <c r="AR413" t="s">
        <v>25</v>
      </c>
    </row>
    <row r="414" spans="17:45">
      <c r="Q414" s="97" t="s">
        <v>5650</v>
      </c>
      <c r="R414" s="93">
        <v>4635809.8416840006</v>
      </c>
      <c r="S414" t="s">
        <v>25</v>
      </c>
      <c r="T414" s="19"/>
      <c r="U414" s="19"/>
      <c r="V414" s="115"/>
      <c r="W414" s="115"/>
      <c r="X414" s="276"/>
      <c r="AH414" s="20">
        <v>148</v>
      </c>
      <c r="AI414" s="20" t="s">
        <v>5485</v>
      </c>
      <c r="AJ414" s="115">
        <v>35000000</v>
      </c>
      <c r="AK414" s="20">
        <v>15</v>
      </c>
      <c r="AL414" s="20">
        <f t="shared" si="103"/>
        <v>147</v>
      </c>
      <c r="AM414" s="20">
        <f t="shared" si="104"/>
        <v>5145000000</v>
      </c>
      <c r="AN414" s="20"/>
    </row>
    <row r="415" spans="17:45">
      <c r="Q415" s="97" t="s">
        <v>5653</v>
      </c>
      <c r="R415" s="93">
        <v>288892.40000000002</v>
      </c>
      <c r="T415" s="97"/>
      <c r="U415" s="166"/>
      <c r="V415" s="111"/>
      <c r="W415" s="115">
        <f t="shared" si="93"/>
        <v>0</v>
      </c>
      <c r="X415" s="97"/>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5687</v>
      </c>
      <c r="R416" s="93">
        <v>58508002.009000003</v>
      </c>
      <c r="T416" s="166"/>
      <c r="U416" s="166">
        <f>SUM(U158:U415)</f>
        <v>4018126</v>
      </c>
      <c r="V416" s="97"/>
      <c r="W416" s="97"/>
      <c r="X416" s="97"/>
      <c r="Y416" s="112"/>
      <c r="AH416" s="20">
        <v>150</v>
      </c>
      <c r="AI416" s="20" t="s">
        <v>5508</v>
      </c>
      <c r="AJ416" s="115">
        <v>1600000</v>
      </c>
      <c r="AK416" s="20">
        <v>1</v>
      </c>
      <c r="AL416" s="20">
        <f t="shared" si="105"/>
        <v>132</v>
      </c>
      <c r="AM416" s="20">
        <f t="shared" si="106"/>
        <v>211200000</v>
      </c>
      <c r="AN416" s="20"/>
    </row>
    <row r="417" spans="17:45">
      <c r="Q417" s="97" t="s">
        <v>5688</v>
      </c>
      <c r="R417" s="93">
        <v>2245515.5410799999</v>
      </c>
      <c r="T417" s="97"/>
      <c r="U417" s="97" t="s">
        <v>6</v>
      </c>
      <c r="V417" s="97"/>
      <c r="W417" s="97"/>
      <c r="X417" s="97"/>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5690</v>
      </c>
      <c r="R418" s="93">
        <v>18404699.3442</v>
      </c>
      <c r="T418" s="198" t="s">
        <v>4441</v>
      </c>
      <c r="AH418" s="20">
        <v>152</v>
      </c>
      <c r="AI418" s="20" t="s">
        <v>5511</v>
      </c>
      <c r="AJ418" s="115">
        <v>600000</v>
      </c>
      <c r="AK418" s="20">
        <v>9</v>
      </c>
      <c r="AL418" s="20">
        <f>AK418+AL419</f>
        <v>131</v>
      </c>
      <c r="AM418" s="20">
        <f t="shared" si="106"/>
        <v>78600000</v>
      </c>
      <c r="AN418" s="20" t="s">
        <v>5513</v>
      </c>
    </row>
    <row r="419" spans="17:45">
      <c r="Q419" s="97" t="s">
        <v>5690</v>
      </c>
      <c r="R419" s="93">
        <v>48684800</v>
      </c>
      <c r="T419" s="197">
        <f>R175/U416</f>
        <v>2453.9549879720048</v>
      </c>
      <c r="X419" t="s">
        <v>25</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5693</v>
      </c>
      <c r="R420" s="93">
        <v>2264658.5922190002</v>
      </c>
      <c r="W420" s="112"/>
      <c r="AH420" s="20">
        <v>154</v>
      </c>
      <c r="AI420" s="20" t="s">
        <v>5577</v>
      </c>
      <c r="AJ420" s="115">
        <v>-46183500</v>
      </c>
      <c r="AK420" s="20">
        <v>0</v>
      </c>
      <c r="AL420" s="20">
        <f t="shared" si="107"/>
        <v>99</v>
      </c>
      <c r="AM420" s="20">
        <f t="shared" si="108"/>
        <v>-4572166500</v>
      </c>
      <c r="AN420" s="20" t="s">
        <v>4881</v>
      </c>
      <c r="AR420" t="s">
        <v>25</v>
      </c>
    </row>
    <row r="421" spans="17:45">
      <c r="Q421" s="97" t="s">
        <v>5695</v>
      </c>
      <c r="R421" s="93">
        <v>22877413.789960001</v>
      </c>
      <c r="U421" s="94" t="s">
        <v>267</v>
      </c>
      <c r="V421" t="s">
        <v>4442</v>
      </c>
      <c r="X421" t="s">
        <v>25</v>
      </c>
      <c r="AH421" s="147">
        <v>155</v>
      </c>
      <c r="AI421" s="147" t="s">
        <v>5577</v>
      </c>
      <c r="AJ421" s="186">
        <v>-1812800</v>
      </c>
      <c r="AK421" s="147">
        <v>2</v>
      </c>
      <c r="AL421" s="147">
        <f>AK421+AL422</f>
        <v>99</v>
      </c>
      <c r="AM421" s="147">
        <f t="shared" si="108"/>
        <v>-179467200</v>
      </c>
      <c r="AN421" s="147" t="s">
        <v>4881</v>
      </c>
    </row>
    <row r="422" spans="17:45">
      <c r="Q422" s="97" t="s">
        <v>5698</v>
      </c>
      <c r="R422" s="93">
        <v>2362539.4373280001</v>
      </c>
      <c r="T422" s="112"/>
      <c r="U422" s="93">
        <v>-15360905</v>
      </c>
      <c r="V422">
        <f>U422/T419</f>
        <v>-6259.6523062937449</v>
      </c>
      <c r="X422" t="s">
        <v>25</v>
      </c>
      <c r="AH422" s="20">
        <v>156</v>
      </c>
      <c r="AI422" s="20" t="s">
        <v>5581</v>
      </c>
      <c r="AJ422" s="115">
        <v>90000</v>
      </c>
      <c r="AK422" s="20">
        <v>0</v>
      </c>
      <c r="AL422" s="20">
        <f t="shared" ref="AL422:AL441" si="109">AK422+AL423</f>
        <v>97</v>
      </c>
      <c r="AM422" s="20">
        <f t="shared" ref="AM422:AM441" si="110">AJ422*AL422</f>
        <v>8730000</v>
      </c>
      <c r="AN422" s="20"/>
    </row>
    <row r="423" spans="17:45">
      <c r="Q423" s="97" t="s">
        <v>5699</v>
      </c>
      <c r="R423" s="93">
        <v>16042676.656608</v>
      </c>
      <c r="S423" t="s">
        <v>25</v>
      </c>
      <c r="T423" t="s">
        <v>25</v>
      </c>
      <c r="X423" t="s">
        <v>25</v>
      </c>
      <c r="AH423" s="147">
        <v>157</v>
      </c>
      <c r="AI423" s="147" t="s">
        <v>5581</v>
      </c>
      <c r="AJ423" s="186">
        <v>60000</v>
      </c>
      <c r="AK423" s="147">
        <v>5</v>
      </c>
      <c r="AL423" s="147">
        <f t="shared" si="109"/>
        <v>97</v>
      </c>
      <c r="AM423" s="147">
        <f t="shared" si="110"/>
        <v>5820000</v>
      </c>
      <c r="AN423" s="147"/>
    </row>
    <row r="424" spans="17:45">
      <c r="Q424" s="97" t="s">
        <v>5700</v>
      </c>
      <c r="R424" s="93">
        <v>18403291.448284</v>
      </c>
      <c r="T424" t="s">
        <v>25</v>
      </c>
      <c r="U424" s="94" t="s">
        <v>25</v>
      </c>
      <c r="V424" s="22"/>
      <c r="W424" s="219"/>
      <c r="X424" s="286"/>
      <c r="AH424" s="20">
        <v>158</v>
      </c>
      <c r="AI424" s="20" t="s">
        <v>5589</v>
      </c>
      <c r="AJ424" s="115">
        <v>50000000</v>
      </c>
      <c r="AK424" s="20">
        <v>29</v>
      </c>
      <c r="AL424" s="20">
        <f t="shared" si="109"/>
        <v>92</v>
      </c>
      <c r="AM424" s="20">
        <f t="shared" si="110"/>
        <v>4600000000</v>
      </c>
      <c r="AN424" s="20" t="s">
        <v>5591</v>
      </c>
    </row>
    <row r="425" spans="17:45">
      <c r="Q425" s="97" t="s">
        <v>5703</v>
      </c>
      <c r="R425" s="93">
        <v>10561447.246918</v>
      </c>
      <c r="AH425" s="20">
        <v>159</v>
      </c>
      <c r="AI425" s="20" t="s">
        <v>5653</v>
      </c>
      <c r="AJ425" s="115">
        <v>100000</v>
      </c>
      <c r="AK425" s="20">
        <v>1</v>
      </c>
      <c r="AL425" s="20">
        <f t="shared" si="109"/>
        <v>63</v>
      </c>
      <c r="AM425" s="20">
        <f t="shared" si="110"/>
        <v>6300000</v>
      </c>
      <c r="AN425" s="20"/>
    </row>
    <row r="426" spans="17:45">
      <c r="Q426" s="97" t="s">
        <v>5704</v>
      </c>
      <c r="R426" s="93">
        <v>1226811.9176660001</v>
      </c>
      <c r="W426" s="112"/>
      <c r="X426" t="s">
        <v>25</v>
      </c>
      <c r="AH426" s="147">
        <v>160</v>
      </c>
      <c r="AI426" s="147" t="s">
        <v>5641</v>
      </c>
      <c r="AJ426" s="186">
        <v>150000</v>
      </c>
      <c r="AK426" s="147">
        <v>0</v>
      </c>
      <c r="AL426" s="147">
        <f t="shared" si="109"/>
        <v>62</v>
      </c>
      <c r="AM426" s="147">
        <f t="shared" si="110"/>
        <v>9300000</v>
      </c>
      <c r="AN426" s="147"/>
    </row>
    <row r="427" spans="17:45" ht="60">
      <c r="Q427" s="97" t="s">
        <v>5705</v>
      </c>
      <c r="R427" s="93">
        <v>39373959.190266006</v>
      </c>
      <c r="T427" s="22" t="s">
        <v>4426</v>
      </c>
      <c r="V427" s="219"/>
      <c r="AH427" s="20">
        <v>161</v>
      </c>
      <c r="AI427" s="20" t="s">
        <v>5641</v>
      </c>
      <c r="AJ427" s="115">
        <v>-683050</v>
      </c>
      <c r="AK427" s="20">
        <v>7</v>
      </c>
      <c r="AL427" s="20">
        <f t="shared" si="109"/>
        <v>62</v>
      </c>
      <c r="AM427" s="20">
        <f t="shared" si="110"/>
        <v>-42349100</v>
      </c>
      <c r="AN427" s="20" t="s">
        <v>5656</v>
      </c>
    </row>
    <row r="428" spans="17:45" ht="45">
      <c r="Q428" s="97" t="s">
        <v>5710</v>
      </c>
      <c r="R428" s="93">
        <v>27703487.063980002</v>
      </c>
      <c r="S428" t="s">
        <v>25</v>
      </c>
      <c r="T428" s="22" t="s">
        <v>4427</v>
      </c>
      <c r="W428" s="286"/>
      <c r="AH428" s="147">
        <v>162</v>
      </c>
      <c r="AI428" s="147" t="s">
        <v>5668</v>
      </c>
      <c r="AJ428" s="186">
        <v>200000</v>
      </c>
      <c r="AK428" s="147">
        <v>7</v>
      </c>
      <c r="AL428" s="147">
        <f t="shared" si="109"/>
        <v>55</v>
      </c>
      <c r="AM428" s="147">
        <f t="shared" si="110"/>
        <v>11000000</v>
      </c>
      <c r="AN428" s="147"/>
    </row>
    <row r="429" spans="17:45">
      <c r="Q429" s="97" t="s">
        <v>5711</v>
      </c>
      <c r="R429" s="93">
        <v>8738896.6890719999</v>
      </c>
      <c r="AH429" s="147">
        <v>163</v>
      </c>
      <c r="AI429" s="147" t="s">
        <v>5673</v>
      </c>
      <c r="AJ429" s="186">
        <v>150000</v>
      </c>
      <c r="AK429" s="147">
        <v>5</v>
      </c>
      <c r="AL429" s="147">
        <f t="shared" si="109"/>
        <v>48</v>
      </c>
      <c r="AM429" s="147">
        <f t="shared" si="110"/>
        <v>7200000</v>
      </c>
      <c r="AN429" s="147"/>
    </row>
    <row r="430" spans="17:45">
      <c r="Q430" s="97" t="s">
        <v>4187</v>
      </c>
      <c r="R430" s="93">
        <v>348201.66738</v>
      </c>
      <c r="AH430" s="20">
        <v>164</v>
      </c>
      <c r="AI430" s="20" t="s">
        <v>5677</v>
      </c>
      <c r="AJ430" s="115">
        <v>320000</v>
      </c>
      <c r="AK430" s="20">
        <v>2</v>
      </c>
      <c r="AL430" s="20">
        <f t="shared" si="109"/>
        <v>43</v>
      </c>
      <c r="AM430" s="20">
        <f t="shared" si="110"/>
        <v>13760000</v>
      </c>
      <c r="AN430" s="20"/>
    </row>
    <row r="431" spans="17:45">
      <c r="Q431" s="97" t="s">
        <v>5713</v>
      </c>
      <c r="R431" s="93">
        <v>4158090.8935679998</v>
      </c>
      <c r="T431" s="97" t="s">
        <v>4443</v>
      </c>
      <c r="U431" s="97" t="s">
        <v>4421</v>
      </c>
      <c r="V431" s="97" t="s">
        <v>938</v>
      </c>
      <c r="W431" s="72" t="s">
        <v>5635</v>
      </c>
      <c r="AH431" s="20">
        <v>165</v>
      </c>
      <c r="AI431" s="20" t="s">
        <v>5678</v>
      </c>
      <c r="AJ431" s="115">
        <v>200000</v>
      </c>
      <c r="AK431" s="20">
        <v>29</v>
      </c>
      <c r="AL431" s="20">
        <f t="shared" si="109"/>
        <v>41</v>
      </c>
      <c r="AM431" s="20">
        <f t="shared" si="110"/>
        <v>8200000</v>
      </c>
      <c r="AN431" s="20"/>
    </row>
    <row r="432" spans="17:45">
      <c r="Q432" s="97" t="s">
        <v>5718</v>
      </c>
      <c r="R432" s="93">
        <v>110770524.97879399</v>
      </c>
      <c r="T432" s="93">
        <f>S233+R292+R454</f>
        <v>1874208725.0220287</v>
      </c>
      <c r="U432" s="93">
        <f>R175</f>
        <v>9860300340</v>
      </c>
      <c r="V432" s="93">
        <f>U432-T432</f>
        <v>7986091614.9779711</v>
      </c>
      <c r="AH432" s="20">
        <v>166</v>
      </c>
      <c r="AI432" s="20" t="s">
        <v>5714</v>
      </c>
      <c r="AJ432" s="115">
        <v>4200000</v>
      </c>
      <c r="AK432" s="20">
        <v>0</v>
      </c>
      <c r="AL432" s="20">
        <f t="shared" si="109"/>
        <v>12</v>
      </c>
      <c r="AM432" s="20">
        <f t="shared" si="110"/>
        <v>50400000</v>
      </c>
      <c r="AN432" s="20"/>
    </row>
    <row r="433" spans="17:43">
      <c r="Q433" s="97" t="s">
        <v>5714</v>
      </c>
      <c r="R433" s="93">
        <v>17900000</v>
      </c>
      <c r="W433" s="94" t="s">
        <v>25</v>
      </c>
      <c r="AH433" s="147">
        <v>167</v>
      </c>
      <c r="AI433" s="147" t="s">
        <v>5714</v>
      </c>
      <c r="AJ433" s="186">
        <v>3300000</v>
      </c>
      <c r="AK433" s="147">
        <v>11</v>
      </c>
      <c r="AL433" s="147">
        <f t="shared" si="109"/>
        <v>12</v>
      </c>
      <c r="AM433" s="147">
        <f t="shared" si="110"/>
        <v>39600000</v>
      </c>
      <c r="AN433" s="147"/>
    </row>
    <row r="434" spans="17:43">
      <c r="Q434" s="97" t="s">
        <v>5718</v>
      </c>
      <c r="R434" s="93">
        <v>12114824.927374</v>
      </c>
      <c r="AH434" s="147">
        <v>168</v>
      </c>
      <c r="AI434" s="147" t="s">
        <v>5746</v>
      </c>
      <c r="AJ434" s="186">
        <v>-1500000</v>
      </c>
      <c r="AK434" s="147">
        <v>1</v>
      </c>
      <c r="AL434" s="147">
        <f t="shared" si="109"/>
        <v>1</v>
      </c>
      <c r="AM434" s="147">
        <f t="shared" si="110"/>
        <v>-1500000</v>
      </c>
      <c r="AN434" s="147"/>
    </row>
    <row r="435" spans="17:43">
      <c r="Q435" s="97" t="s">
        <v>5735</v>
      </c>
      <c r="R435" s="93">
        <v>6684147.0064600008</v>
      </c>
      <c r="T435" s="115"/>
      <c r="V435" s="112">
        <f>(444000000+2500000)*2/3</f>
        <v>297666666.66666669</v>
      </c>
      <c r="AH435" s="20"/>
      <c r="AI435" s="20"/>
      <c r="AJ435" s="115"/>
      <c r="AK435" s="20"/>
      <c r="AL435" s="20">
        <f t="shared" si="109"/>
        <v>0</v>
      </c>
      <c r="AM435" s="20">
        <f t="shared" si="110"/>
        <v>0</v>
      </c>
      <c r="AN435" s="20"/>
      <c r="AQ435" t="s">
        <v>25</v>
      </c>
    </row>
    <row r="436" spans="17:43">
      <c r="Q436" s="97" t="s">
        <v>5740</v>
      </c>
      <c r="R436" s="93">
        <v>1826535.2307560001</v>
      </c>
      <c r="AH436" s="20"/>
      <c r="AI436" s="20"/>
      <c r="AJ436" s="115"/>
      <c r="AK436" s="20"/>
      <c r="AL436" s="20">
        <f t="shared" si="109"/>
        <v>0</v>
      </c>
      <c r="AM436" s="20">
        <f t="shared" si="110"/>
        <v>0</v>
      </c>
      <c r="AN436" s="20"/>
    </row>
    <row r="437" spans="17:43">
      <c r="Q437" s="97" t="s">
        <v>5744</v>
      </c>
      <c r="R437" s="93">
        <v>3577366.94</v>
      </c>
      <c r="T437" s="112">
        <f>W310+W311+W313+W314+W316+W317</f>
        <v>-301699041.74755996</v>
      </c>
      <c r="AH437" s="20"/>
      <c r="AI437" s="20"/>
      <c r="AJ437" s="115"/>
      <c r="AK437" s="20"/>
      <c r="AL437" s="20">
        <f t="shared" si="109"/>
        <v>0</v>
      </c>
      <c r="AM437" s="20">
        <f t="shared" si="110"/>
        <v>0</v>
      </c>
      <c r="AN437" s="20"/>
    </row>
    <row r="438" spans="17:43">
      <c r="Q438" s="97" t="s">
        <v>5746</v>
      </c>
      <c r="R438" s="93">
        <v>21239029.173567999</v>
      </c>
      <c r="T438" t="s">
        <v>25</v>
      </c>
      <c r="AH438" s="20"/>
      <c r="AI438" s="20"/>
      <c r="AJ438" s="115"/>
      <c r="AK438" s="20"/>
      <c r="AL438" s="20">
        <f t="shared" si="109"/>
        <v>0</v>
      </c>
      <c r="AM438" s="20">
        <f t="shared" si="110"/>
        <v>0</v>
      </c>
      <c r="AN438" s="20"/>
    </row>
    <row r="439" spans="17:43">
      <c r="Q439" s="97" t="s">
        <v>5751</v>
      </c>
      <c r="R439" s="93">
        <v>242957252.40163299</v>
      </c>
      <c r="T439" s="112">
        <f>V435+T437</f>
        <v>-4032375.0808932781</v>
      </c>
      <c r="AH439" s="20"/>
      <c r="AI439" s="20"/>
      <c r="AJ439" s="115"/>
      <c r="AK439" s="20"/>
      <c r="AL439" s="20">
        <f t="shared" si="109"/>
        <v>0</v>
      </c>
      <c r="AM439" s="20">
        <f t="shared" si="110"/>
        <v>0</v>
      </c>
      <c r="AN439" s="20"/>
    </row>
    <row r="440" spans="17:43">
      <c r="Q440" s="97" t="s">
        <v>5759</v>
      </c>
      <c r="R440" s="93">
        <v>7357181.2750800001</v>
      </c>
      <c r="T440" t="s">
        <v>25</v>
      </c>
      <c r="AH440" s="97"/>
      <c r="AI440" s="97"/>
      <c r="AJ440" s="115"/>
      <c r="AK440" s="97"/>
      <c r="AL440" s="20">
        <f t="shared" si="109"/>
        <v>0</v>
      </c>
      <c r="AM440" s="20">
        <f t="shared" si="110"/>
        <v>0</v>
      </c>
      <c r="AN440" s="20"/>
    </row>
    <row r="441" spans="17:43">
      <c r="Q441" s="97" t="s">
        <v>5760</v>
      </c>
      <c r="R441" s="93">
        <v>14951411.942400001</v>
      </c>
      <c r="T441" t="s">
        <v>25</v>
      </c>
      <c r="AH441" s="97"/>
      <c r="AI441" s="97"/>
      <c r="AJ441" s="115"/>
      <c r="AK441" s="97"/>
      <c r="AL441" s="20">
        <f t="shared" si="109"/>
        <v>0</v>
      </c>
      <c r="AM441" s="20">
        <f t="shared" si="110"/>
        <v>0</v>
      </c>
      <c r="AN441" s="97"/>
    </row>
    <row r="442" spans="17:43">
      <c r="Q442" s="97" t="s">
        <v>5764</v>
      </c>
      <c r="R442" s="93">
        <v>47928209.377011999</v>
      </c>
      <c r="AH442" s="97"/>
      <c r="AI442" s="97"/>
      <c r="AJ442" s="93">
        <f>SUM(AJ267:AJ441)</f>
        <v>166700355</v>
      </c>
      <c r="AK442" s="97"/>
      <c r="AL442" s="97"/>
      <c r="AM442" s="97">
        <f>SUM(AM267:AM441)</f>
        <v>187944205934</v>
      </c>
      <c r="AN442" s="93">
        <f>AM442*AN253/31</f>
        <v>101047292.91296704</v>
      </c>
    </row>
    <row r="443" spans="17:43">
      <c r="Q443" s="97" t="s">
        <v>5767</v>
      </c>
      <c r="R443" s="93">
        <v>2281595.69937</v>
      </c>
      <c r="AJ443" t="s">
        <v>4043</v>
      </c>
      <c r="AM443" t="s">
        <v>284</v>
      </c>
      <c r="AN443" t="s">
        <v>928</v>
      </c>
    </row>
    <row r="444" spans="17:43">
      <c r="Q444" s="97" t="s">
        <v>5770</v>
      </c>
      <c r="R444" s="93">
        <v>2964916.035069</v>
      </c>
      <c r="T444" t="s">
        <v>25</v>
      </c>
    </row>
    <row r="445" spans="17:43">
      <c r="Q445" s="97" t="s">
        <v>5772</v>
      </c>
      <c r="R445" s="93">
        <v>6460549.4269619994</v>
      </c>
      <c r="T445" t="s">
        <v>25</v>
      </c>
      <c r="AI445" t="s">
        <v>4045</v>
      </c>
      <c r="AJ445" s="112">
        <f>AJ442+AN442</f>
        <v>267747647.91296703</v>
      </c>
    </row>
    <row r="446" spans="17:43">
      <c r="Q446" s="97" t="s">
        <v>5776</v>
      </c>
      <c r="R446" s="93">
        <v>5212319.8968359996</v>
      </c>
      <c r="U446" s="94" t="s">
        <v>25</v>
      </c>
      <c r="W446" s="94" t="s">
        <v>25</v>
      </c>
      <c r="AI446" t="s">
        <v>4048</v>
      </c>
      <c r="AJ446" s="112">
        <f>SUM(N20:N28)</f>
        <v>3775420133</v>
      </c>
    </row>
    <row r="447" spans="17:43">
      <c r="Q447" s="97" t="s">
        <v>5782</v>
      </c>
      <c r="R447" s="93">
        <v>4524496.4792809999</v>
      </c>
      <c r="T447" t="s">
        <v>25</v>
      </c>
      <c r="X447" t="s">
        <v>25</v>
      </c>
      <c r="AI447" t="s">
        <v>4120</v>
      </c>
      <c r="AJ447" s="112">
        <f>AJ446-AJ442</f>
        <v>3608719778</v>
      </c>
    </row>
    <row r="448" spans="17:43">
      <c r="Q448" s="97" t="s">
        <v>5785</v>
      </c>
      <c r="R448" s="93">
        <v>22866040.240959998</v>
      </c>
      <c r="T448" t="s">
        <v>25</v>
      </c>
      <c r="V448" t="s">
        <v>25</v>
      </c>
      <c r="AI448" t="s">
        <v>928</v>
      </c>
      <c r="AJ448" s="112">
        <f>AN442</f>
        <v>101047292.91296704</v>
      </c>
    </row>
    <row r="449" spans="17:40">
      <c r="Q449" s="97" t="s">
        <v>5788</v>
      </c>
      <c r="R449" s="93">
        <v>15359304.269892</v>
      </c>
      <c r="T449" t="s">
        <v>25</v>
      </c>
      <c r="U449" s="94" t="s">
        <v>25</v>
      </c>
      <c r="AI449" t="s">
        <v>4049</v>
      </c>
      <c r="AJ449" s="112">
        <f>AJ447-AJ448</f>
        <v>3507672485.0870328</v>
      </c>
      <c r="AM449" t="s">
        <v>25</v>
      </c>
      <c r="AN449" t="s">
        <v>25</v>
      </c>
    </row>
    <row r="450" spans="17:40">
      <c r="Q450" s="97"/>
      <c r="R450" s="93"/>
      <c r="T450" t="s">
        <v>25</v>
      </c>
      <c r="U450" s="94" t="s">
        <v>25</v>
      </c>
      <c r="V450" t="s">
        <v>25</v>
      </c>
      <c r="AL450" t="s">
        <v>25</v>
      </c>
      <c r="AM450" t="s">
        <v>25</v>
      </c>
      <c r="AN450" t="s">
        <v>25</v>
      </c>
    </row>
    <row r="451" spans="17:40">
      <c r="Q451" s="97"/>
      <c r="R451" s="93"/>
      <c r="T451" t="s">
        <v>25</v>
      </c>
      <c r="U451" s="94" t="s">
        <v>25</v>
      </c>
      <c r="V451" t="s">
        <v>25</v>
      </c>
    </row>
    <row r="452" spans="17:40">
      <c r="Q452" s="97"/>
      <c r="R452" s="93"/>
      <c r="T452" t="s">
        <v>25</v>
      </c>
      <c r="U452" s="94" t="s">
        <v>25</v>
      </c>
    </row>
    <row r="453" spans="17:40">
      <c r="Q453" s="97" t="s">
        <v>25</v>
      </c>
      <c r="R453" s="97" t="s">
        <v>25</v>
      </c>
      <c r="T453" t="s">
        <v>25</v>
      </c>
      <c r="U453" s="94" t="s">
        <v>25</v>
      </c>
      <c r="V453" t="s">
        <v>25</v>
      </c>
      <c r="AN453" t="s">
        <v>25</v>
      </c>
    </row>
    <row r="454" spans="17:40">
      <c r="Q454" s="97" t="s">
        <v>25</v>
      </c>
      <c r="R454" s="93">
        <f>SUM(R297:R453)</f>
        <v>1699672803.5706286</v>
      </c>
      <c r="T454" t="s">
        <v>25</v>
      </c>
      <c r="U454" s="94" t="s">
        <v>25</v>
      </c>
      <c r="AN454" t="s">
        <v>25</v>
      </c>
    </row>
    <row r="455" spans="17:40">
      <c r="Q455" s="97"/>
      <c r="R455" s="97" t="s">
        <v>6</v>
      </c>
      <c r="T455" t="s">
        <v>25</v>
      </c>
      <c r="U455" s="94" t="s">
        <v>25</v>
      </c>
    </row>
    <row r="456" spans="17:40">
      <c r="T456" t="s">
        <v>25</v>
      </c>
      <c r="V456" t="s">
        <v>25</v>
      </c>
    </row>
    <row r="457" spans="17:40">
      <c r="T457" t="s">
        <v>25</v>
      </c>
      <c r="U457" s="94" t="s">
        <v>25</v>
      </c>
    </row>
    <row r="458" spans="17:40">
      <c r="Q458" t="s">
        <v>25</v>
      </c>
      <c r="T458" t="s">
        <v>25</v>
      </c>
    </row>
    <row r="459" spans="17:40">
      <c r="T459" t="s">
        <v>25</v>
      </c>
      <c r="U459" s="94" t="s">
        <v>25</v>
      </c>
    </row>
    <row r="460" spans="17:40">
      <c r="R460" t="s">
        <v>25</v>
      </c>
    </row>
    <row r="461" spans="17:40">
      <c r="R461" t="s">
        <v>25</v>
      </c>
    </row>
    <row r="462" spans="17:40">
      <c r="Q462" t="s">
        <v>25</v>
      </c>
      <c r="T462" t="s">
        <v>25</v>
      </c>
    </row>
    <row r="463" spans="17:40">
      <c r="R46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4"/>
  <sheetViews>
    <sheetView tabSelected="1" topLeftCell="A116" zoomScale="80" zoomScaleNormal="80" workbookViewId="0">
      <selection activeCell="C129" sqref="C12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5785</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5788</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C128</f>
        <v>15800</v>
      </c>
      <c r="D90" s="60">
        <v>1</v>
      </c>
      <c r="E90" s="287" t="s">
        <v>4363</v>
      </c>
      <c r="F90" s="288">
        <f>C127</f>
        <v>17200</v>
      </c>
      <c r="G90" s="287">
        <f>C90*D90*0.99114/(F90*1.0037158)</f>
        <v>0.90709522949971344</v>
      </c>
      <c r="H90" s="327">
        <f>C90/F90</f>
        <v>0.91860465116279066</v>
      </c>
      <c r="I90" s="328">
        <f>F90/C90</f>
        <v>1.0886075949367089</v>
      </c>
      <c r="J90" s="20"/>
      <c r="K90" s="20">
        <f>H90/H88</f>
        <v>0.980906242954795</v>
      </c>
      <c r="L90" s="20">
        <f>(1/K90-1.0256)*100</f>
        <v>-0.61345748563199631</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8" si="27">C95*D95*0.99114/(F95*1.0037158)</f>
        <v>842.00676326550888</v>
      </c>
      <c r="H95" s="290">
        <f t="shared" ref="H95" si="28">C95/F95</f>
        <v>0.10067182152364051</v>
      </c>
      <c r="I95" s="306">
        <f t="shared" ref="I95" si="29">F95/C95</f>
        <v>9.9332661798035762</v>
      </c>
      <c r="J95" s="20"/>
      <c r="K95" s="20">
        <f t="shared" ref="K95:K98"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17117</v>
      </c>
      <c r="Y95" s="115">
        <f>T95*X95</f>
        <v>14960258</v>
      </c>
    </row>
    <row r="96" spans="1:25">
      <c r="A96" s="289" t="s">
        <v>5770</v>
      </c>
      <c r="B96" s="289" t="s">
        <v>4221</v>
      </c>
      <c r="C96" s="291">
        <v>1605.4</v>
      </c>
      <c r="D96" s="289">
        <v>723045</v>
      </c>
      <c r="E96" s="60" t="s">
        <v>4359</v>
      </c>
      <c r="F96" s="49">
        <v>15939.8</v>
      </c>
      <c r="G96" s="323">
        <f t="shared" si="27"/>
        <v>71910.11128789901</v>
      </c>
      <c r="H96" s="290">
        <f t="shared" ref="H96:H98" si="31">C96/F96</f>
        <v>0.10071644562667036</v>
      </c>
      <c r="I96" s="306">
        <f t="shared" ref="I96:I98"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1533</v>
      </c>
      <c r="Y96" s="115">
        <f>T96*X96</f>
        <v>452235000</v>
      </c>
    </row>
    <row r="97" spans="1:27">
      <c r="A97" s="289" t="s">
        <v>5777</v>
      </c>
      <c r="B97" s="289" t="s">
        <v>4221</v>
      </c>
      <c r="C97" s="291">
        <v>1627.4</v>
      </c>
      <c r="D97" s="289">
        <v>94387</v>
      </c>
      <c r="E97" s="60" t="s">
        <v>4359</v>
      </c>
      <c r="F97" s="49">
        <v>16265.9</v>
      </c>
      <c r="G97" s="323">
        <f t="shared" si="27"/>
        <v>9325.0815658094671</v>
      </c>
      <c r="H97" s="290">
        <f t="shared" si="31"/>
        <v>0.1000497974289772</v>
      </c>
      <c r="I97" s="306">
        <f t="shared" si="32"/>
        <v>9.9950227356519594</v>
      </c>
      <c r="J97" s="20"/>
      <c r="K97" s="20">
        <f t="shared" si="30"/>
        <v>0.99338093998904364</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27"/>
        <v>#VALUE!</v>
      </c>
      <c r="H98" s="290" t="e">
        <f t="shared" si="31"/>
        <v>#VALUE!</v>
      </c>
      <c r="I98" s="306" t="e">
        <f t="shared" si="32"/>
        <v>#VALUE!</v>
      </c>
      <c r="J98" s="20"/>
      <c r="K98" s="20" t="e">
        <f t="shared" si="30"/>
        <v>#VALUE!</v>
      </c>
      <c r="L98" s="97"/>
      <c r="M98" s="97"/>
      <c r="N98" s="97"/>
      <c r="O98" t="s">
        <v>25</v>
      </c>
      <c r="R98" s="97" t="s">
        <v>5433</v>
      </c>
      <c r="S98" s="97" t="s">
        <v>5334</v>
      </c>
      <c r="T98" s="97">
        <v>0</v>
      </c>
      <c r="U98" s="115">
        <v>683292</v>
      </c>
      <c r="V98" s="115"/>
      <c r="W98" s="115"/>
      <c r="X98" s="97" t="e">
        <f>'برنامه 5 ساله'!#REF!</f>
        <v>#REF!</v>
      </c>
      <c r="Y98" s="115">
        <f>U98</f>
        <v>683292</v>
      </c>
    </row>
    <row r="99" spans="1:27">
      <c r="A99" s="289"/>
      <c r="B99" s="289"/>
      <c r="C99" s="291">
        <f>C126</f>
        <v>1540</v>
      </c>
      <c r="D99" s="289">
        <v>1</v>
      </c>
      <c r="E99" s="60" t="s">
        <v>4359</v>
      </c>
      <c r="F99" s="49">
        <f>C128</f>
        <v>15800</v>
      </c>
      <c r="G99" s="289">
        <f t="shared" ref="G99" si="33">C99*D99*0.99114/(F99*1.0037158)</f>
        <v>9.624714965145173E-2</v>
      </c>
      <c r="H99" s="290">
        <f>C99/F99</f>
        <v>9.7468354430379753E-2</v>
      </c>
      <c r="I99" s="306">
        <f>F99/C99</f>
        <v>10.25974025974026</v>
      </c>
      <c r="J99" s="97"/>
      <c r="K99" s="97">
        <f>H99/H97</f>
        <v>0.97419841853822897</v>
      </c>
      <c r="L99" s="97">
        <f>(1/K99-1.0256)*100</f>
        <v>8.8493466093475526E-2</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O101" t="s">
        <v>25</v>
      </c>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475559519</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4">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4"/>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4"/>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4"/>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5">C107*D107*0.99025/(F107*1.0046399)</f>
        <v>789.6187890074915</v>
      </c>
      <c r="H107" s="297">
        <f t="shared" ref="H107" si="36">C107/F107</f>
        <v>8.0109319992588482E-2</v>
      </c>
      <c r="I107" s="306">
        <f t="shared" ref="I107" si="37">F107/C107</f>
        <v>12.482942060830345</v>
      </c>
      <c r="J107" s="97" t="s">
        <v>452</v>
      </c>
      <c r="K107" s="308">
        <f t="shared" si="34"/>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4"/>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8">C109*D109*0.99025/(F109*1.0046399)</f>
        <v>6303.0571343067613</v>
      </c>
      <c r="H109" s="297">
        <f t="shared" ref="H109" si="39">C109/F109</f>
        <v>8.1493736705270631E-2</v>
      </c>
      <c r="I109" s="306">
        <f t="shared" ref="I109" si="40">F109/C109</f>
        <v>12.270881670533642</v>
      </c>
      <c r="J109" s="97" t="s">
        <v>452</v>
      </c>
      <c r="K109" s="308">
        <f t="shared" si="34"/>
        <v>1.0123903864165369</v>
      </c>
      <c r="L109" s="97"/>
      <c r="M109" s="97"/>
      <c r="N109" s="97" t="s">
        <v>25</v>
      </c>
      <c r="R109" s="97"/>
      <c r="S109" s="97" t="s">
        <v>4363</v>
      </c>
      <c r="T109" s="97">
        <v>4279</v>
      </c>
      <c r="U109" s="115">
        <v>32796123</v>
      </c>
      <c r="V109" s="115">
        <f>U109/T109</f>
        <v>7664.436316896471</v>
      </c>
      <c r="W109" s="115">
        <f>V109*1.01</f>
        <v>7741.0806800654354</v>
      </c>
      <c r="X109" s="97">
        <f>X95</f>
        <v>17117</v>
      </c>
      <c r="Y109" s="97">
        <f>T109*X109</f>
        <v>73243643</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4"/>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4"/>
        <v>1.002913236324386</v>
      </c>
      <c r="L111" s="97"/>
      <c r="M111" s="97"/>
      <c r="N111" s="97"/>
      <c r="R111" s="97"/>
      <c r="S111" s="97" t="s">
        <v>4221</v>
      </c>
      <c r="T111" s="97">
        <v>12936</v>
      </c>
      <c r="U111" s="115">
        <v>6322162</v>
      </c>
      <c r="V111" s="115">
        <f>U111/T111</f>
        <v>488.72619047619048</v>
      </c>
      <c r="W111" s="115">
        <f>V111*1.01</f>
        <v>493.61345238095237</v>
      </c>
      <c r="X111" s="97">
        <f>X96</f>
        <v>1533</v>
      </c>
      <c r="Y111" s="97">
        <f>T111*X111</f>
        <v>19830888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4"/>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4"/>
        <v>1.0000732817429325</v>
      </c>
      <c r="L113" s="60">
        <f>SUM(G92:G94)</f>
        <v>11304.395386018101</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1">C114*D114*0.99025/(F114*1.0046399)</f>
        <v>321.76888796380018</v>
      </c>
      <c r="H114" s="302">
        <f t="shared" ref="H114:H115" si="42">C114/F114</f>
        <v>8.2518882518882508E-2</v>
      </c>
      <c r="I114" s="306">
        <f t="shared" ref="I114:I115" si="43">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1"/>
        <v>3517.0066995021512</v>
      </c>
      <c r="H115" s="302">
        <f t="shared" si="42"/>
        <v>8.5007727975270467E-2</v>
      </c>
      <c r="I115" s="306">
        <f t="shared" si="43"/>
        <v>11.763636363636365</v>
      </c>
      <c r="J115" s="97" t="s">
        <v>452</v>
      </c>
      <c r="K115" s="308">
        <f t="shared" ref="K115:K120" si="44">H115/H114</f>
        <v>1.0301609205119622</v>
      </c>
      <c r="L115" s="97"/>
      <c r="M115" s="97"/>
      <c r="N115" s="97"/>
      <c r="R115" s="97"/>
      <c r="S115" s="97"/>
      <c r="T115" s="97"/>
      <c r="U115" s="115">
        <v>141800000</v>
      </c>
      <c r="V115" s="115"/>
      <c r="W115" s="115"/>
      <c r="X115" s="97"/>
      <c r="Y115" s="93" t="e">
        <f>SUM(Y109:Y113)</f>
        <v>#REF!</v>
      </c>
    </row>
    <row r="116" spans="1:25" ht="19.5">
      <c r="A116" s="289" t="s">
        <v>5777</v>
      </c>
      <c r="B116" s="289" t="s">
        <v>4221</v>
      </c>
      <c r="C116" s="291">
        <v>1633</v>
      </c>
      <c r="D116" s="289">
        <v>81823</v>
      </c>
      <c r="E116" s="287" t="s">
        <v>4363</v>
      </c>
      <c r="F116" s="288">
        <v>17510.5</v>
      </c>
      <c r="G116" s="322">
        <f t="shared" ref="G116:G121" si="45">C116*D116*0.99114/(F116*1.0037158)</f>
        <v>7535.0697889892872</v>
      </c>
      <c r="H116" s="302">
        <f t="shared" ref="H116:H121" si="46">C116/F116</f>
        <v>9.3258330715856194E-2</v>
      </c>
      <c r="I116" s="306">
        <f t="shared" ref="I116:I121" si="47">F116/C116</f>
        <v>10.722902633190447</v>
      </c>
      <c r="J116" s="97"/>
      <c r="K116" s="308">
        <f t="shared" si="44"/>
        <v>1.0970570904210721</v>
      </c>
      <c r="L116" s="97"/>
      <c r="M116" s="97" t="s">
        <v>25</v>
      </c>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t="s">
        <v>25</v>
      </c>
      <c r="M117" s="97"/>
      <c r="N117" s="97"/>
    </row>
    <row r="118" spans="1:25" ht="19.5">
      <c r="A118" s="289"/>
      <c r="B118" s="289"/>
      <c r="C118" s="291"/>
      <c r="D118" s="289"/>
      <c r="E118" s="287"/>
      <c r="F118" s="288"/>
      <c r="G118" s="322" t="e">
        <f t="shared" si="45"/>
        <v>#DIV/0!</v>
      </c>
      <c r="H118" s="302" t="e">
        <f t="shared" si="46"/>
        <v>#DIV/0!</v>
      </c>
      <c r="I118" s="306" t="e">
        <f t="shared" si="47"/>
        <v>#DIV/0!</v>
      </c>
      <c r="J118" s="97" t="s">
        <v>25</v>
      </c>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si="44"/>
        <v>#DIV/0!</v>
      </c>
      <c r="L120" s="97"/>
      <c r="M120" s="97"/>
      <c r="N120" s="97"/>
      <c r="Q120" t="s">
        <v>25</v>
      </c>
      <c r="R120" t="s">
        <v>25</v>
      </c>
    </row>
    <row r="121" spans="1:25" ht="19.5">
      <c r="A121" s="289"/>
      <c r="B121" s="289"/>
      <c r="C121" s="291"/>
      <c r="D121" s="289"/>
      <c r="E121" s="287"/>
      <c r="F121" s="288"/>
      <c r="G121" s="322" t="e">
        <f t="shared" si="45"/>
        <v>#DIV/0!</v>
      </c>
      <c r="H121" s="302" t="e">
        <f t="shared" si="46"/>
        <v>#DIV/0!</v>
      </c>
      <c r="I121" s="306" t="e">
        <f t="shared" si="47"/>
        <v>#DIV/0!</v>
      </c>
      <c r="J121" s="97"/>
      <c r="K121" s="308" t="e">
        <f t="shared" ref="K121" si="48">H121/H120</f>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1540</v>
      </c>
      <c r="D123" s="289">
        <v>1</v>
      </c>
      <c r="E123" s="287" t="s">
        <v>4363</v>
      </c>
      <c r="F123" s="315">
        <f>C127</f>
        <v>17200</v>
      </c>
      <c r="G123" s="289">
        <f t="shared" ref="G123" si="49">C123*D123*0.99114/(F123*1.0037158)</f>
        <v>8.8413079330984731E-2</v>
      </c>
      <c r="H123" s="290">
        <f>C123/F123</f>
        <v>8.9534883720930228E-2</v>
      </c>
      <c r="I123" s="290">
        <f>F123/C123</f>
        <v>11.168831168831169</v>
      </c>
      <c r="J123" s="97"/>
      <c r="K123" s="309">
        <f>H123/H116</f>
        <v>0.96007384041356325</v>
      </c>
      <c r="L123" s="310">
        <f>(1/K123-1.0256)*100</f>
        <v>1.5986550852419956</v>
      </c>
      <c r="M123" s="97">
        <f>H114*1.01</f>
        <v>8.3344071344071333E-2</v>
      </c>
      <c r="N123" s="97">
        <f t="shared" ref="L123:N137" si="50">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0"/>
        <v>11.762036982330047</v>
      </c>
      <c r="S124" t="s">
        <v>25</v>
      </c>
    </row>
    <row r="125" spans="1:25">
      <c r="A125" s="85"/>
      <c r="B125" s="94"/>
      <c r="C125" s="94"/>
      <c r="D125" s="94" t="s">
        <v>25</v>
      </c>
      <c r="E125" s="94"/>
      <c r="F125" s="94"/>
      <c r="G125" s="94"/>
      <c r="H125" s="94"/>
      <c r="I125" s="94"/>
      <c r="J125" s="94"/>
      <c r="K125" s="94"/>
      <c r="L125" s="94"/>
      <c r="M125" s="97">
        <f t="shared" ref="K125:M138" si="51">M124*1.01</f>
        <v>8.5019287178087169E-2</v>
      </c>
      <c r="N125" s="97">
        <f t="shared" si="50"/>
        <v>11.645581170623808</v>
      </c>
      <c r="S125" t="s">
        <v>25</v>
      </c>
    </row>
    <row r="126" spans="1:25" ht="21">
      <c r="B126" t="s">
        <v>4221</v>
      </c>
      <c r="C126" s="312">
        <v>1540</v>
      </c>
      <c r="D126" t="s">
        <v>25</v>
      </c>
      <c r="F126">
        <v>158882</v>
      </c>
      <c r="G126">
        <f>F126/0.99114</f>
        <v>160302.27818471659</v>
      </c>
      <c r="I126">
        <v>544971</v>
      </c>
      <c r="J126">
        <v>53841</v>
      </c>
      <c r="M126" s="97">
        <f t="shared" si="51"/>
        <v>8.5869480049868038E-2</v>
      </c>
      <c r="N126" s="97">
        <f t="shared" si="50"/>
        <v>11.530278386756247</v>
      </c>
      <c r="R126" t="s">
        <v>25</v>
      </c>
      <c r="S126" t="s">
        <v>25</v>
      </c>
    </row>
    <row r="127" spans="1:25" ht="21">
      <c r="B127" t="s">
        <v>4363</v>
      </c>
      <c r="C127" s="311">
        <v>17200</v>
      </c>
      <c r="F127">
        <v>17181</v>
      </c>
      <c r="G127" s="94">
        <f t="shared" ref="G127" si="52">F127/1.0037158</f>
        <v>17117.395182979086</v>
      </c>
      <c r="I127" s="94">
        <f>I126*J127/J126</f>
        <v>450584.66662952024</v>
      </c>
      <c r="J127">
        <v>44516</v>
      </c>
      <c r="M127" s="97">
        <f t="shared" si="51"/>
        <v>8.6728174850366713E-2</v>
      </c>
      <c r="N127" s="97">
        <f t="shared" si="50"/>
        <v>11.416117214610145</v>
      </c>
      <c r="R127" t="s">
        <v>25</v>
      </c>
    </row>
    <row r="128" spans="1:25">
      <c r="A128" s="94"/>
      <c r="B128" t="s">
        <v>4359</v>
      </c>
      <c r="C128" s="319">
        <v>15800</v>
      </c>
      <c r="F128">
        <v>17630.7</v>
      </c>
      <c r="G128" s="94">
        <f>F128*0.99114/1.0037158</f>
        <v>17409.800660704954</v>
      </c>
      <c r="H128" s="94"/>
      <c r="I128">
        <f>I126-I127</f>
        <v>94386.333370479755</v>
      </c>
      <c r="J128">
        <f>J126-J127</f>
        <v>9325</v>
      </c>
      <c r="K128" t="s">
        <v>25</v>
      </c>
      <c r="L128" t="s">
        <v>25</v>
      </c>
      <c r="M128" s="97">
        <f t="shared" si="51"/>
        <v>8.7595456598870386E-2</v>
      </c>
      <c r="N128" s="97">
        <f t="shared" si="50"/>
        <v>11.303086351099154</v>
      </c>
    </row>
    <row r="129" spans="1:20">
      <c r="A129" s="94"/>
      <c r="G129" s="94"/>
      <c r="H129" s="94"/>
      <c r="J129" t="s">
        <v>25</v>
      </c>
      <c r="L129" t="s">
        <v>25</v>
      </c>
      <c r="M129" s="97">
        <f t="shared" si="51"/>
        <v>8.8471411164859085E-2</v>
      </c>
      <c r="N129" s="97">
        <f t="shared" si="50"/>
        <v>11.191174605048667</v>
      </c>
      <c r="S129" t="s">
        <v>25</v>
      </c>
      <c r="T129" t="s">
        <v>25</v>
      </c>
    </row>
    <row r="130" spans="1:20">
      <c r="B130" s="94"/>
      <c r="C130" s="94"/>
      <c r="D130" s="94"/>
      <c r="E130" s="94"/>
      <c r="F130" s="94"/>
      <c r="G130" s="94"/>
      <c r="H130" s="94"/>
      <c r="M130" s="97">
        <f t="shared" si="51"/>
        <v>8.9356125276507672E-2</v>
      </c>
      <c r="N130" s="97">
        <f>1/K131</f>
        <v>11.080370896087789</v>
      </c>
      <c r="R130" t="s">
        <v>25</v>
      </c>
      <c r="S130" t="s">
        <v>25</v>
      </c>
    </row>
    <row r="131" spans="1:20">
      <c r="A131" s="97" t="s">
        <v>5793</v>
      </c>
      <c r="B131" s="97"/>
      <c r="C131" s="97" t="s">
        <v>5792</v>
      </c>
      <c r="D131" s="97"/>
      <c r="E131" s="97" t="s">
        <v>5794</v>
      </c>
      <c r="F131" s="97" t="s">
        <v>5795</v>
      </c>
      <c r="K131" s="97">
        <f>M130*1.01</f>
        <v>9.0249686529272746E-2</v>
      </c>
      <c r="L131" s="97">
        <f t="shared" si="50"/>
        <v>10.970664253552266</v>
      </c>
      <c r="P131" t="s">
        <v>25</v>
      </c>
      <c r="Q131" t="s">
        <v>25</v>
      </c>
    </row>
    <row r="132" spans="1:20">
      <c r="A132" s="97">
        <f>C128/C126</f>
        <v>10.25974025974026</v>
      </c>
      <c r="B132" s="97"/>
      <c r="C132" s="97">
        <v>10.73</v>
      </c>
      <c r="D132" s="97"/>
      <c r="E132" s="97">
        <v>10</v>
      </c>
      <c r="F132" s="97">
        <v>10.35</v>
      </c>
      <c r="G132" s="94"/>
      <c r="H132" s="94"/>
      <c r="K132" s="97">
        <f t="shared" si="51"/>
        <v>9.1152183394565475E-2</v>
      </c>
      <c r="L132" s="97">
        <f t="shared" si="50"/>
        <v>10.862043815398284</v>
      </c>
      <c r="Q132" t="s">
        <v>25</v>
      </c>
      <c r="R132" t="s">
        <v>25</v>
      </c>
    </row>
    <row r="133" spans="1:20">
      <c r="A133" s="97"/>
      <c r="B133" s="97"/>
      <c r="C133" s="97">
        <f>C132/1.001</f>
        <v>10.719280719280722</v>
      </c>
      <c r="D133" s="97"/>
      <c r="E133" s="97">
        <f>E132/1.001</f>
        <v>9.990009990009991</v>
      </c>
      <c r="F133" s="97">
        <f>F132*1.002</f>
        <v>10.370699999999999</v>
      </c>
      <c r="G133" s="94"/>
      <c r="H133" s="94"/>
      <c r="I133" t="s">
        <v>25</v>
      </c>
      <c r="K133" s="97">
        <f t="shared" si="51"/>
        <v>9.2063705228511136E-2</v>
      </c>
      <c r="L133" s="97">
        <f t="shared" si="50"/>
        <v>10.754498827127014</v>
      </c>
    </row>
    <row r="134" spans="1:20">
      <c r="A134" s="97"/>
      <c r="B134" s="97"/>
      <c r="C134" s="97">
        <f t="shared" ref="C134:C197" si="53">C133/1.001</f>
        <v>10.708572147133589</v>
      </c>
      <c r="D134" s="97"/>
      <c r="E134" s="97">
        <f t="shared" ref="E134:E197" si="54">E133/1.001</f>
        <v>9.9800299600499418</v>
      </c>
      <c r="F134" s="97">
        <f t="shared" ref="F134:F197" si="55">F133*1.002</f>
        <v>10.3914414</v>
      </c>
      <c r="G134" s="94"/>
      <c r="H134" s="94"/>
      <c r="K134" s="97">
        <f t="shared" si="51"/>
        <v>9.2984342280796245E-2</v>
      </c>
      <c r="L134" s="97">
        <f t="shared" si="50"/>
        <v>10.648018640719815</v>
      </c>
      <c r="P134" t="s">
        <v>25</v>
      </c>
    </row>
    <row r="135" spans="1:20">
      <c r="A135" s="97" t="s">
        <v>5796</v>
      </c>
      <c r="B135" s="97"/>
      <c r="C135" s="97">
        <f t="shared" si="53"/>
        <v>10.69787427286073</v>
      </c>
      <c r="D135" s="97"/>
      <c r="E135" s="97">
        <f t="shared" si="54"/>
        <v>9.9700599001497938</v>
      </c>
      <c r="F135" s="97">
        <f t="shared" si="55"/>
        <v>10.4122242828</v>
      </c>
      <c r="G135" s="94"/>
      <c r="H135" s="94"/>
      <c r="K135" s="97">
        <f t="shared" si="51"/>
        <v>9.3914185703604214E-2</v>
      </c>
      <c r="L135" s="97">
        <f t="shared" si="50"/>
        <v>10.542592713583975</v>
      </c>
    </row>
    <row r="136" spans="1:20">
      <c r="A136" s="97">
        <f>C127/C126</f>
        <v>11.168831168831169</v>
      </c>
      <c r="B136" s="97"/>
      <c r="C136" s="97">
        <f t="shared" si="53"/>
        <v>10.687187085774957</v>
      </c>
      <c r="D136" s="97"/>
      <c r="E136" s="97">
        <f t="shared" si="54"/>
        <v>9.960099800349445</v>
      </c>
      <c r="F136" s="97">
        <f t="shared" si="55"/>
        <v>10.4330487313656</v>
      </c>
      <c r="G136" s="94"/>
      <c r="H136" s="94"/>
      <c r="K136" s="97">
        <f t="shared" si="51"/>
        <v>9.4853327560640258E-2</v>
      </c>
      <c r="L136" s="97">
        <f t="shared" si="50"/>
        <v>10.438210607508886</v>
      </c>
      <c r="P136" t="s">
        <v>25</v>
      </c>
      <c r="Q136" t="s">
        <v>25</v>
      </c>
      <c r="R136" t="s">
        <v>25</v>
      </c>
    </row>
    <row r="137" spans="1:20">
      <c r="A137" s="97"/>
      <c r="B137" s="97"/>
      <c r="C137" s="97">
        <f t="shared" si="53"/>
        <v>10.676510575199758</v>
      </c>
      <c r="D137" s="97"/>
      <c r="E137" s="97">
        <f t="shared" si="54"/>
        <v>9.9501496506987479</v>
      </c>
      <c r="F137" s="97">
        <f t="shared" si="55"/>
        <v>10.453914828828331</v>
      </c>
      <c r="G137" s="94"/>
      <c r="H137" s="94"/>
      <c r="K137" s="97">
        <f t="shared" si="51"/>
        <v>9.5801860836246658E-2</v>
      </c>
      <c r="L137" s="97">
        <f t="shared" si="50"/>
        <v>10.334861987632561</v>
      </c>
    </row>
    <row r="138" spans="1:20">
      <c r="A138" s="97"/>
      <c r="B138" s="97"/>
      <c r="C138" s="97">
        <f t="shared" si="53"/>
        <v>10.66584473046929</v>
      </c>
      <c r="D138" s="97"/>
      <c r="E138" s="97">
        <f t="shared" si="54"/>
        <v>9.9402094412574922</v>
      </c>
      <c r="F138" s="97">
        <f t="shared" si="55"/>
        <v>10.474822658485989</v>
      </c>
      <c r="G138" s="94"/>
      <c r="H138" s="94"/>
      <c r="K138" s="97">
        <f t="shared" si="51"/>
        <v>9.675987944460912E-2</v>
      </c>
      <c r="P138" t="s">
        <v>25</v>
      </c>
      <c r="Q138" t="s">
        <v>25</v>
      </c>
    </row>
    <row r="139" spans="1:20">
      <c r="A139" s="97"/>
      <c r="B139" s="97"/>
      <c r="C139" s="97">
        <f t="shared" si="53"/>
        <v>10.655189540928363</v>
      </c>
      <c r="D139" s="97"/>
      <c r="E139" s="97">
        <f t="shared" si="54"/>
        <v>9.9302791620953972</v>
      </c>
      <c r="F139" s="97">
        <f t="shared" si="55"/>
        <v>10.49577230380296</v>
      </c>
      <c r="G139" s="94"/>
      <c r="H139" s="94" t="s">
        <v>5605</v>
      </c>
    </row>
    <row r="140" spans="1:20">
      <c r="A140" s="97"/>
      <c r="B140" s="97"/>
      <c r="C140" s="97">
        <f t="shared" si="53"/>
        <v>10.644544995932431</v>
      </c>
      <c r="D140" s="97"/>
      <c r="E140" s="97">
        <f t="shared" si="54"/>
        <v>9.9203588032921068</v>
      </c>
      <c r="F140" s="97">
        <f t="shared" si="55"/>
        <v>10.516763848410566</v>
      </c>
      <c r="G140" s="94"/>
      <c r="H140" s="94" t="s">
        <v>5606</v>
      </c>
    </row>
    <row r="141" spans="1:20">
      <c r="A141" s="97"/>
      <c r="B141" s="97"/>
      <c r="C141" s="97">
        <f t="shared" si="53"/>
        <v>10.633911084847584</v>
      </c>
      <c r="D141" s="97"/>
      <c r="E141" s="97">
        <f t="shared" si="54"/>
        <v>9.91044835493717</v>
      </c>
      <c r="F141" s="97">
        <f t="shared" si="55"/>
        <v>10.537797376107386</v>
      </c>
      <c r="G141" s="94"/>
      <c r="H141" s="94" t="s">
        <v>5607</v>
      </c>
      <c r="K141" t="s">
        <v>25</v>
      </c>
    </row>
    <row r="142" spans="1:20">
      <c r="A142" s="97"/>
      <c r="B142" s="97"/>
      <c r="C142" s="97">
        <f t="shared" si="53"/>
        <v>10.623287797050535</v>
      </c>
      <c r="D142" s="97"/>
      <c r="E142" s="97">
        <f t="shared" si="54"/>
        <v>9.9005478071300406</v>
      </c>
      <c r="F142" s="97">
        <f t="shared" si="55"/>
        <v>10.558872970859602</v>
      </c>
      <c r="G142" s="94"/>
      <c r="H142" s="94" t="s">
        <v>5608</v>
      </c>
    </row>
    <row r="143" spans="1:20">
      <c r="A143" s="97"/>
      <c r="B143" s="97"/>
      <c r="C143" s="97">
        <f t="shared" si="53"/>
        <v>10.612675121928607</v>
      </c>
      <c r="D143" s="97"/>
      <c r="E143" s="97">
        <f t="shared" si="54"/>
        <v>9.8906571499800613</v>
      </c>
      <c r="F143" s="97">
        <f t="shared" si="55"/>
        <v>10.579990716801321</v>
      </c>
      <c r="G143" s="94"/>
      <c r="H143" s="94" t="s">
        <v>5609</v>
      </c>
    </row>
    <row r="144" spans="1:20">
      <c r="A144" s="97"/>
      <c r="B144" s="97"/>
      <c r="C144" s="97">
        <f t="shared" si="53"/>
        <v>10.602073048879728</v>
      </c>
      <c r="D144" s="97"/>
      <c r="E144" s="97">
        <f t="shared" si="54"/>
        <v>9.8807763736064551</v>
      </c>
      <c r="F144" s="97">
        <f t="shared" si="55"/>
        <v>10.601150698234923</v>
      </c>
      <c r="G144" s="94"/>
      <c r="H144" s="94" t="s">
        <v>5610</v>
      </c>
    </row>
    <row r="145" spans="1:17">
      <c r="A145" s="97"/>
      <c r="B145" s="97"/>
      <c r="C145" s="97">
        <f t="shared" si="53"/>
        <v>10.591481567312416</v>
      </c>
      <c r="D145" s="97"/>
      <c r="E145" s="97">
        <f t="shared" si="54"/>
        <v>9.8709054681383179</v>
      </c>
      <c r="F145" s="97">
        <f t="shared" si="55"/>
        <v>10.622352999631392</v>
      </c>
      <c r="G145" s="94"/>
      <c r="H145" s="94"/>
      <c r="K145" t="s">
        <v>25</v>
      </c>
    </row>
    <row r="146" spans="1:17">
      <c r="A146" s="97"/>
      <c r="B146" s="97"/>
      <c r="C146" s="97">
        <f t="shared" si="53"/>
        <v>10.580900666645771</v>
      </c>
      <c r="D146" s="97"/>
      <c r="E146" s="97">
        <f t="shared" si="54"/>
        <v>9.8610444237146044</v>
      </c>
      <c r="F146" s="97">
        <f t="shared" si="55"/>
        <v>10.643597705630654</v>
      </c>
      <c r="G146" s="94"/>
      <c r="H146" s="94" t="s">
        <v>25</v>
      </c>
    </row>
    <row r="147" spans="1:17">
      <c r="A147" s="97"/>
      <c r="B147" s="97"/>
      <c r="C147" s="97">
        <f t="shared" si="53"/>
        <v>10.570330336309462</v>
      </c>
      <c r="D147" s="97"/>
      <c r="E147" s="97">
        <f t="shared" si="54"/>
        <v>9.851193230484121</v>
      </c>
      <c r="F147" s="97">
        <f t="shared" si="55"/>
        <v>10.664884901041916</v>
      </c>
      <c r="G147" s="94"/>
      <c r="H147" s="94"/>
    </row>
    <row r="148" spans="1:17">
      <c r="A148" s="97"/>
      <c r="B148" s="97"/>
      <c r="C148" s="97">
        <f t="shared" si="53"/>
        <v>10.559770565743719</v>
      </c>
      <c r="D148" s="97"/>
      <c r="E148" s="97">
        <f t="shared" si="54"/>
        <v>9.8413518786055167</v>
      </c>
      <c r="F148" s="97">
        <f t="shared" si="55"/>
        <v>10.686214670843999</v>
      </c>
      <c r="G148" s="94"/>
      <c r="H148" s="94"/>
    </row>
    <row r="149" spans="1:17">
      <c r="A149" s="97"/>
      <c r="B149" s="97"/>
      <c r="C149" s="97">
        <f t="shared" si="53"/>
        <v>10.549221344399321</v>
      </c>
      <c r="D149" s="97"/>
      <c r="E149" s="97">
        <f t="shared" si="54"/>
        <v>9.8315203582472712</v>
      </c>
      <c r="F149" s="97">
        <f t="shared" si="55"/>
        <v>10.707587100185687</v>
      </c>
    </row>
    <row r="150" spans="1:17">
      <c r="A150" s="97"/>
      <c r="B150" s="97"/>
      <c r="C150" s="97">
        <f t="shared" si="53"/>
        <v>10.538682661737584</v>
      </c>
      <c r="D150" s="97"/>
      <c r="E150" s="97">
        <f t="shared" si="54"/>
        <v>9.8216986595876854</v>
      </c>
      <c r="F150" s="97">
        <f t="shared" si="55"/>
        <v>10.729002274386058</v>
      </c>
      <c r="P150" t="s">
        <v>25</v>
      </c>
    </row>
    <row r="151" spans="1:17">
      <c r="A151" s="97"/>
      <c r="B151" s="97"/>
      <c r="C151" s="97">
        <f t="shared" si="53"/>
        <v>10.528154507230354</v>
      </c>
      <c r="D151" s="97"/>
      <c r="E151" s="97">
        <f t="shared" si="54"/>
        <v>9.8118867728148711</v>
      </c>
      <c r="F151" s="97">
        <f t="shared" si="55"/>
        <v>10.750460278934831</v>
      </c>
    </row>
    <row r="152" spans="1:17">
      <c r="A152" s="97"/>
      <c r="B152" s="97"/>
      <c r="C152" s="97">
        <f t="shared" si="53"/>
        <v>10.517636870359995</v>
      </c>
      <c r="D152" s="97"/>
      <c r="E152" s="97">
        <f t="shared" si="54"/>
        <v>9.8020846881267456</v>
      </c>
      <c r="F152" s="97">
        <f t="shared" si="55"/>
        <v>10.771961199492701</v>
      </c>
      <c r="O152" t="s">
        <v>25</v>
      </c>
    </row>
    <row r="153" spans="1:17">
      <c r="A153" s="97"/>
      <c r="B153" s="97"/>
      <c r="C153" s="97">
        <f t="shared" si="53"/>
        <v>10.507129740619376</v>
      </c>
      <c r="D153" s="97"/>
      <c r="E153" s="97">
        <f t="shared" si="54"/>
        <v>9.7922923957310157</v>
      </c>
      <c r="F153" s="97">
        <f t="shared" si="55"/>
        <v>10.793505121891686</v>
      </c>
      <c r="G153" t="s">
        <v>25</v>
      </c>
    </row>
    <row r="154" spans="1:17">
      <c r="A154" s="97"/>
      <c r="B154" s="97"/>
      <c r="C154" s="97">
        <f t="shared" si="53"/>
        <v>10.496633107511865</v>
      </c>
      <c r="D154" s="97"/>
      <c r="E154" s="97">
        <f t="shared" si="54"/>
        <v>9.7825098858451724</v>
      </c>
      <c r="F154" s="97">
        <f t="shared" si="55"/>
        <v>10.815092132135469</v>
      </c>
    </row>
    <row r="155" spans="1:17">
      <c r="A155" s="97"/>
      <c r="B155" s="97"/>
      <c r="C155" s="97">
        <f t="shared" si="53"/>
        <v>10.486146960551315</v>
      </c>
      <c r="D155" s="97"/>
      <c r="E155" s="97">
        <f t="shared" si="54"/>
        <v>9.7727371486964767</v>
      </c>
      <c r="F155" s="97">
        <f t="shared" si="55"/>
        <v>10.83672231639974</v>
      </c>
      <c r="N155" t="s">
        <v>25</v>
      </c>
      <c r="Q155" t="s">
        <v>25</v>
      </c>
    </row>
    <row r="156" spans="1:17">
      <c r="A156" s="97"/>
      <c r="B156" s="97"/>
      <c r="C156" s="97">
        <f t="shared" si="53"/>
        <v>10.475671289262054</v>
      </c>
      <c r="D156" s="97"/>
      <c r="E156" s="97">
        <f t="shared" si="54"/>
        <v>9.7629741745219558</v>
      </c>
      <c r="F156" s="97">
        <f t="shared" si="55"/>
        <v>10.85839576103254</v>
      </c>
      <c r="Q156" t="s">
        <v>25</v>
      </c>
    </row>
    <row r="157" spans="1:17">
      <c r="A157" s="97"/>
      <c r="B157" s="97"/>
      <c r="C157" s="97">
        <f t="shared" si="53"/>
        <v>10.465206083178877</v>
      </c>
      <c r="D157" s="97"/>
      <c r="E157" s="97">
        <f t="shared" si="54"/>
        <v>9.7532209535683894</v>
      </c>
      <c r="F157" s="97">
        <f t="shared" si="55"/>
        <v>10.880112552554605</v>
      </c>
      <c r="O157" t="s">
        <v>25</v>
      </c>
    </row>
    <row r="158" spans="1:17">
      <c r="A158" s="97"/>
      <c r="B158" s="97"/>
      <c r="C158" s="97">
        <f t="shared" si="53"/>
        <v>10.454751331847032</v>
      </c>
      <c r="D158" s="97"/>
      <c r="E158" s="97">
        <f t="shared" si="54"/>
        <v>9.7434774760922984</v>
      </c>
      <c r="F158" s="97">
        <f t="shared" si="55"/>
        <v>10.901872777659715</v>
      </c>
      <c r="N158" t="s">
        <v>25</v>
      </c>
      <c r="P158" t="s">
        <v>25</v>
      </c>
    </row>
    <row r="159" spans="1:17">
      <c r="A159" s="97"/>
      <c r="C159" s="97">
        <f t="shared" si="53"/>
        <v>10.44430702482221</v>
      </c>
      <c r="E159" s="97">
        <f t="shared" si="54"/>
        <v>9.7337437323599403</v>
      </c>
      <c r="F159" s="97">
        <f t="shared" si="55"/>
        <v>10.923676523215034</v>
      </c>
      <c r="M159" t="s">
        <v>25</v>
      </c>
      <c r="P159" t="s">
        <v>25</v>
      </c>
    </row>
    <row r="160" spans="1:17">
      <c r="A160" s="97"/>
      <c r="C160" s="97">
        <f t="shared" si="53"/>
        <v>10.433873151670541</v>
      </c>
      <c r="E160" s="97">
        <f t="shared" si="54"/>
        <v>9.7240197126472943</v>
      </c>
      <c r="F160" s="97">
        <f t="shared" si="55"/>
        <v>10.945523876261465</v>
      </c>
    </row>
    <row r="161" spans="1:13">
      <c r="A161" s="97"/>
      <c r="C161" s="97">
        <f t="shared" si="53"/>
        <v>10.423449701968574</v>
      </c>
      <c r="E161" s="97">
        <f t="shared" si="54"/>
        <v>9.7143054072400545</v>
      </c>
      <c r="F161" s="97">
        <f t="shared" si="55"/>
        <v>10.967414924013989</v>
      </c>
      <c r="M161" t="s">
        <v>25</v>
      </c>
    </row>
    <row r="162" spans="1:13">
      <c r="A162" s="97"/>
      <c r="C162" s="97">
        <f t="shared" si="53"/>
        <v>10.413036665303272</v>
      </c>
      <c r="E162" s="97">
        <f t="shared" si="54"/>
        <v>9.7046008064336213</v>
      </c>
      <c r="F162" s="97">
        <f t="shared" si="55"/>
        <v>10.989349753862017</v>
      </c>
    </row>
    <row r="163" spans="1:13">
      <c r="A163" s="97"/>
      <c r="C163" s="97">
        <f t="shared" si="53"/>
        <v>10.402634031272001</v>
      </c>
      <c r="E163" s="97">
        <f t="shared" si="54"/>
        <v>9.6949059005330884</v>
      </c>
      <c r="F163" s="97">
        <f t="shared" si="55"/>
        <v>11.011328453369741</v>
      </c>
    </row>
    <row r="164" spans="1:13">
      <c r="A164" s="97"/>
      <c r="C164" s="97">
        <f t="shared" si="53"/>
        <v>10.392241789482519</v>
      </c>
      <c r="E164" s="97">
        <f t="shared" si="54"/>
        <v>9.6852206798532361</v>
      </c>
      <c r="F164" s="97">
        <f t="shared" si="55"/>
        <v>11.033351110276481</v>
      </c>
    </row>
    <row r="165" spans="1:13">
      <c r="A165" s="97"/>
      <c r="C165" s="97">
        <f t="shared" si="53"/>
        <v>10.381859929552967</v>
      </c>
      <c r="E165" s="97">
        <f t="shared" si="54"/>
        <v>9.6755451347185186</v>
      </c>
      <c r="F165" s="97">
        <f t="shared" si="55"/>
        <v>11.055417812497033</v>
      </c>
    </row>
    <row r="166" spans="1:13">
      <c r="A166" s="97"/>
      <c r="C166" s="97">
        <f t="shared" si="53"/>
        <v>10.371488441111856</v>
      </c>
      <c r="E166" s="97">
        <f t="shared" si="54"/>
        <v>9.6658792554630573</v>
      </c>
      <c r="F166" s="97">
        <f t="shared" si="55"/>
        <v>11.077528648122028</v>
      </c>
    </row>
    <row r="167" spans="1:13">
      <c r="A167" s="97"/>
      <c r="C167" s="97">
        <f t="shared" si="53"/>
        <v>10.361127313798059</v>
      </c>
      <c r="E167" s="97">
        <f t="shared" si="54"/>
        <v>9.6562230324306277</v>
      </c>
      <c r="F167" s="97">
        <f t="shared" si="55"/>
        <v>11.099683705418272</v>
      </c>
    </row>
    <row r="168" spans="1:13">
      <c r="A168" s="97"/>
      <c r="C168" s="97">
        <f t="shared" si="53"/>
        <v>10.350776537260799</v>
      </c>
      <c r="E168" s="97">
        <f t="shared" si="54"/>
        <v>9.646576455974655</v>
      </c>
      <c r="F168" s="97">
        <f t="shared" si="55"/>
        <v>11.121883072829108</v>
      </c>
    </row>
    <row r="169" spans="1:13">
      <c r="A169" s="97"/>
      <c r="C169" s="97">
        <f t="shared" si="53"/>
        <v>10.340436101159641</v>
      </c>
      <c r="E169" s="97">
        <f t="shared" si="54"/>
        <v>9.636939516458197</v>
      </c>
      <c r="F169" s="97">
        <f t="shared" si="55"/>
        <v>11.144126838974767</v>
      </c>
    </row>
    <row r="170" spans="1:13">
      <c r="A170" s="97"/>
      <c r="C170" s="97">
        <f t="shared" si="53"/>
        <v>10.330105995164478</v>
      </c>
      <c r="E170" s="97">
        <f t="shared" si="54"/>
        <v>9.6273122042539434</v>
      </c>
      <c r="F170" s="97">
        <f t="shared" si="55"/>
        <v>11.166415092652716</v>
      </c>
    </row>
    <row r="171" spans="1:13">
      <c r="A171" s="97"/>
      <c r="C171" s="97">
        <f t="shared" si="53"/>
        <v>10.319786208955524</v>
      </c>
      <c r="E171" s="97">
        <f t="shared" si="54"/>
        <v>9.6176945097442008</v>
      </c>
      <c r="F171" s="97">
        <f t="shared" si="55"/>
        <v>11.188747922838022</v>
      </c>
    </row>
    <row r="172" spans="1:13">
      <c r="A172" s="97"/>
      <c r="C172" s="97">
        <f t="shared" si="53"/>
        <v>10.309476732223301</v>
      </c>
      <c r="E172" s="97">
        <f t="shared" si="54"/>
        <v>9.6080864233208807</v>
      </c>
      <c r="F172" s="97">
        <f t="shared" si="55"/>
        <v>11.211125418683698</v>
      </c>
    </row>
    <row r="173" spans="1:13">
      <c r="A173" s="97"/>
      <c r="C173" s="97">
        <f t="shared" si="53"/>
        <v>10.299177554668633</v>
      </c>
      <c r="E173" s="97">
        <f t="shared" si="54"/>
        <v>9.5984879353854957</v>
      </c>
      <c r="F173" s="97">
        <f t="shared" si="55"/>
        <v>11.233547669521066</v>
      </c>
    </row>
    <row r="174" spans="1:13">
      <c r="A174" s="97"/>
      <c r="C174" s="97">
        <f t="shared" si="53"/>
        <v>10.288888666002631</v>
      </c>
      <c r="E174" s="97">
        <f t="shared" si="54"/>
        <v>9.5888990363491473</v>
      </c>
      <c r="F174" s="97">
        <f t="shared" si="55"/>
        <v>11.256014764860108</v>
      </c>
    </row>
    <row r="175" spans="1:13">
      <c r="A175" s="97"/>
      <c r="C175" s="97">
        <f t="shared" si="53"/>
        <v>10.278610055946686</v>
      </c>
      <c r="E175" s="97">
        <f t="shared" si="54"/>
        <v>9.579319716632515</v>
      </c>
      <c r="F175" s="97">
        <f t="shared" si="55"/>
        <v>11.278526794389828</v>
      </c>
    </row>
    <row r="176" spans="1:13">
      <c r="A176" s="97"/>
      <c r="C176" s="97">
        <f t="shared" si="53"/>
        <v>10.268341714232454</v>
      </c>
      <c r="E176" s="97">
        <f t="shared" si="54"/>
        <v>9.5697499666658494</v>
      </c>
      <c r="F176" s="97">
        <f t="shared" si="55"/>
        <v>11.301083847978608</v>
      </c>
    </row>
    <row r="177" spans="1:6">
      <c r="A177" s="97"/>
      <c r="C177" s="97">
        <f t="shared" si="53"/>
        <v>10.258083630601853</v>
      </c>
      <c r="E177" s="97">
        <f t="shared" si="54"/>
        <v>9.5601897768889614</v>
      </c>
      <c r="F177" s="97">
        <f t="shared" si="55"/>
        <v>11.323686015674566</v>
      </c>
    </row>
    <row r="178" spans="1:6">
      <c r="A178" s="97"/>
      <c r="C178" s="97">
        <f t="shared" si="53"/>
        <v>10.247835794807047</v>
      </c>
      <c r="E178" s="97">
        <f t="shared" si="54"/>
        <v>9.5506391377512116</v>
      </c>
      <c r="F178" s="97">
        <f t="shared" si="55"/>
        <v>11.346333387705915</v>
      </c>
    </row>
    <row r="179" spans="1:6">
      <c r="A179" s="97"/>
      <c r="C179" s="97">
        <f t="shared" si="53"/>
        <v>10.237598196610438</v>
      </c>
      <c r="E179" s="97">
        <f t="shared" si="54"/>
        <v>9.5410980397115015</v>
      </c>
      <c r="F179" s="97">
        <f t="shared" si="55"/>
        <v>11.369026054481326</v>
      </c>
    </row>
    <row r="180" spans="1:6">
      <c r="A180" s="97"/>
      <c r="C180" s="97">
        <f t="shared" si="53"/>
        <v>10.227370825784655</v>
      </c>
      <c r="E180" s="97">
        <f t="shared" si="54"/>
        <v>9.5315664732382643</v>
      </c>
      <c r="F180" s="97">
        <f t="shared" si="55"/>
        <v>11.391764106590289</v>
      </c>
    </row>
    <row r="181" spans="1:6">
      <c r="A181" s="97"/>
      <c r="C181" s="97">
        <f t="shared" si="53"/>
        <v>10.217153672112543</v>
      </c>
      <c r="E181" s="97">
        <f t="shared" si="54"/>
        <v>9.5220444288094566</v>
      </c>
      <c r="F181" s="97">
        <f t="shared" si="55"/>
        <v>11.414547634803469</v>
      </c>
    </row>
    <row r="182" spans="1:6">
      <c r="A182" s="97"/>
      <c r="C182" s="97">
        <f t="shared" si="53"/>
        <v>10.206946725387157</v>
      </c>
      <c r="E182" s="97">
        <f t="shared" si="54"/>
        <v>9.5125318969125452</v>
      </c>
      <c r="F182" s="97">
        <f t="shared" si="55"/>
        <v>11.437376730073076</v>
      </c>
    </row>
    <row r="183" spans="1:6">
      <c r="A183" s="97"/>
      <c r="C183" s="97">
        <f t="shared" si="53"/>
        <v>10.196749975411747</v>
      </c>
      <c r="E183" s="97">
        <f t="shared" si="54"/>
        <v>9.5030288680445025</v>
      </c>
      <c r="F183" s="97">
        <f t="shared" si="55"/>
        <v>11.460251483533222</v>
      </c>
    </row>
    <row r="184" spans="1:6">
      <c r="A184" s="97"/>
      <c r="C184" s="97">
        <f t="shared" si="53"/>
        <v>10.186563411999748</v>
      </c>
      <c r="E184" s="97">
        <f t="shared" si="54"/>
        <v>9.493535332711792</v>
      </c>
      <c r="F184" s="97">
        <f t="shared" si="55"/>
        <v>11.483171986500288</v>
      </c>
    </row>
    <row r="185" spans="1:6">
      <c r="A185" s="97"/>
      <c r="C185" s="97">
        <f t="shared" si="53"/>
        <v>10.176387024974774</v>
      </c>
      <c r="E185" s="97">
        <f t="shared" si="54"/>
        <v>9.4840512814303626</v>
      </c>
      <c r="F185" s="97">
        <f t="shared" si="55"/>
        <v>11.50613833047329</v>
      </c>
    </row>
    <row r="186" spans="1:6">
      <c r="A186" s="97"/>
      <c r="C186" s="97">
        <f t="shared" si="53"/>
        <v>10.166220804170605</v>
      </c>
      <c r="E186" s="97">
        <f t="shared" si="54"/>
        <v>9.4745767047256386</v>
      </c>
      <c r="F186" s="97">
        <f t="shared" si="55"/>
        <v>11.529150607134236</v>
      </c>
    </row>
    <row r="187" spans="1:6">
      <c r="A187" s="97"/>
      <c r="C187" s="97">
        <f t="shared" si="53"/>
        <v>10.156064739431175</v>
      </c>
      <c r="E187" s="97">
        <f t="shared" si="54"/>
        <v>9.4651115931325069</v>
      </c>
      <c r="F187" s="97">
        <f t="shared" si="55"/>
        <v>11.552208908348504</v>
      </c>
    </row>
    <row r="188" spans="1:6">
      <c r="A188" s="97"/>
      <c r="C188" s="97">
        <f t="shared" si="53"/>
        <v>10.145918820610564</v>
      </c>
      <c r="E188" s="97">
        <f t="shared" si="54"/>
        <v>9.4556559371953135</v>
      </c>
      <c r="F188" s="97">
        <f t="shared" si="55"/>
        <v>11.575313326165201</v>
      </c>
    </row>
    <row r="189" spans="1:6">
      <c r="A189" s="97"/>
      <c r="C189" s="97">
        <f t="shared" si="53"/>
        <v>10.135783037572992</v>
      </c>
      <c r="E189" s="97">
        <f t="shared" si="54"/>
        <v>9.4462097274678474</v>
      </c>
      <c r="F189" s="97">
        <f t="shared" si="55"/>
        <v>11.598463952817532</v>
      </c>
    </row>
    <row r="190" spans="1:6">
      <c r="A190" s="97"/>
      <c r="C190" s="97">
        <f t="shared" si="53"/>
        <v>10.1256573801928</v>
      </c>
      <c r="E190" s="97">
        <f t="shared" si="54"/>
        <v>9.4367729545133354</v>
      </c>
      <c r="F190" s="97">
        <f t="shared" si="55"/>
        <v>11.621660880723168</v>
      </c>
    </row>
    <row r="191" spans="1:6">
      <c r="A191" s="97"/>
      <c r="C191" s="97">
        <f t="shared" si="53"/>
        <v>10.115541838354448</v>
      </c>
      <c r="E191" s="97">
        <f t="shared" si="54"/>
        <v>9.4273456089044316</v>
      </c>
      <c r="F191" s="97">
        <f t="shared" si="55"/>
        <v>11.644904202484614</v>
      </c>
    </row>
    <row r="192" spans="1:6">
      <c r="A192" s="97"/>
      <c r="C192" s="97">
        <f t="shared" si="53"/>
        <v>10.105436401952495</v>
      </c>
      <c r="E192" s="97">
        <f t="shared" si="54"/>
        <v>9.41792768122321</v>
      </c>
      <c r="F192" s="97">
        <f t="shared" si="55"/>
        <v>11.668194010889584</v>
      </c>
    </row>
    <row r="193" spans="1:6">
      <c r="A193" s="97"/>
      <c r="C193" s="97">
        <f t="shared" si="53"/>
        <v>10.095341060891604</v>
      </c>
      <c r="D193" t="s">
        <v>25</v>
      </c>
      <c r="E193" s="97">
        <f t="shared" si="54"/>
        <v>9.4085191620611504</v>
      </c>
      <c r="F193" s="97">
        <f t="shared" si="55"/>
        <v>11.691530398911363</v>
      </c>
    </row>
    <row r="194" spans="1:6">
      <c r="A194" s="97"/>
      <c r="C194" s="97">
        <f t="shared" si="53"/>
        <v>10.085255805086518</v>
      </c>
      <c r="E194" s="97">
        <f t="shared" si="54"/>
        <v>9.399120042019133</v>
      </c>
      <c r="F194" s="97">
        <f t="shared" si="55"/>
        <v>11.714913459709186</v>
      </c>
    </row>
    <row r="195" spans="1:6">
      <c r="A195" s="97"/>
      <c r="C195" s="97">
        <f t="shared" si="53"/>
        <v>10.075180624462057</v>
      </c>
      <c r="E195" s="97">
        <f t="shared" si="54"/>
        <v>9.3897303117074262</v>
      </c>
      <c r="F195" s="97">
        <f t="shared" si="55"/>
        <v>11.738343286628604</v>
      </c>
    </row>
    <row r="196" spans="1:6">
      <c r="A196" s="97"/>
      <c r="C196" s="97">
        <f t="shared" si="53"/>
        <v>10.065115508953104</v>
      </c>
      <c r="E196" s="97">
        <f t="shared" si="54"/>
        <v>9.3803499617456811</v>
      </c>
      <c r="F196" s="97">
        <f t="shared" si="55"/>
        <v>11.761819973201861</v>
      </c>
    </row>
    <row r="197" spans="1:6">
      <c r="A197" s="97"/>
      <c r="C197" s="97">
        <f t="shared" si="53"/>
        <v>10.0550604485046</v>
      </c>
      <c r="E197" s="97">
        <f t="shared" si="54"/>
        <v>9.3709789827629191</v>
      </c>
      <c r="F197" s="97">
        <f t="shared" si="55"/>
        <v>11.785343613148266</v>
      </c>
    </row>
    <row r="198" spans="1:6">
      <c r="A198" s="97"/>
      <c r="C198" s="97">
        <f t="shared" ref="C198:C199" si="56">C197/1.001</f>
        <v>10.04501543307153</v>
      </c>
      <c r="E198" s="97">
        <f t="shared" ref="E198:E199" si="57">E197/1.001</f>
        <v>9.3616173653975228</v>
      </c>
      <c r="F198" s="97">
        <f t="shared" ref="F198:F199" si="58">F197*1.002</f>
        <v>11.808914300374562</v>
      </c>
    </row>
    <row r="199" spans="1:6">
      <c r="A199" s="97"/>
      <c r="C199" s="97">
        <f t="shared" si="56"/>
        <v>10.034980452618912</v>
      </c>
      <c r="E199" s="97">
        <f t="shared" si="57"/>
        <v>9.3522651002972257</v>
      </c>
      <c r="F199" s="97">
        <f t="shared" si="58"/>
        <v>11.832532128975311</v>
      </c>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c r="C275" t="s">
        <v>25</v>
      </c>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07" zoomScale="85" zoomScaleNormal="85" workbookViewId="0">
      <selection activeCell="M421" sqref="M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5785</v>
      </c>
      <c r="L440" s="82">
        <v>6153258919</v>
      </c>
      <c r="M440" s="82">
        <v>3527498319</v>
      </c>
      <c r="N440" s="111">
        <f t="shared" si="52"/>
        <v>9680757238</v>
      </c>
      <c r="O440" s="111">
        <f t="shared" si="53"/>
        <v>8252588</v>
      </c>
      <c r="P440" s="111">
        <f t="shared" si="54"/>
        <v>14955818</v>
      </c>
      <c r="Q440" s="225">
        <v>0</v>
      </c>
    </row>
    <row r="441" spans="9:19">
      <c r="I441" s="210"/>
      <c r="J441" s="111">
        <f t="shared" si="51"/>
        <v>-182856601</v>
      </c>
      <c r="K441" s="210" t="s">
        <v>5788</v>
      </c>
      <c r="L441" s="82">
        <v>5970402318</v>
      </c>
      <c r="M441" s="82">
        <v>3424484714</v>
      </c>
      <c r="N441" s="111">
        <f t="shared" si="52"/>
        <v>9394887032</v>
      </c>
      <c r="O441" s="111">
        <f t="shared" si="53"/>
        <v>-103013605</v>
      </c>
      <c r="P441" s="111">
        <f t="shared" si="54"/>
        <v>-285870206</v>
      </c>
      <c r="Q441" s="225">
        <v>0</v>
      </c>
    </row>
    <row r="442" spans="9:19">
      <c r="I442" s="210"/>
      <c r="J442" s="111">
        <f t="shared" si="51"/>
        <v>-5970402318</v>
      </c>
      <c r="K442" s="210"/>
      <c r="L442" s="82"/>
      <c r="M442" s="82"/>
      <c r="N442" s="111">
        <f t="shared" si="52"/>
        <v>0</v>
      </c>
      <c r="O442" s="111">
        <f t="shared" si="53"/>
        <v>-3424484714</v>
      </c>
      <c r="P442" s="111">
        <f t="shared" si="54"/>
        <v>-9394887032</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2020-10-16T11:58:07Z</dcterms:modified>
</cp:coreProperties>
</file>