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57" i="18" l="1"/>
  <c r="O60" i="18"/>
  <c r="W135" i="18"/>
  <c r="X135" i="18" s="1"/>
  <c r="T135" i="18"/>
  <c r="Y135" i="18" l="1"/>
  <c r="G48" i="63"/>
  <c r="H48" i="63"/>
  <c r="I48" i="63"/>
  <c r="N48" i="63"/>
  <c r="J48" i="63" l="1"/>
  <c r="K48" i="63" s="1"/>
  <c r="T66" i="18"/>
  <c r="O37" i="18"/>
  <c r="P24" i="18"/>
  <c r="P173" i="18" l="1"/>
  <c r="X514" i="18"/>
  <c r="W134" i="18"/>
  <c r="Y134" i="18" s="1"/>
  <c r="X134" i="18"/>
  <c r="T134" i="18"/>
  <c r="J191" i="60" l="1"/>
  <c r="Q42" i="63" l="1"/>
  <c r="Q43" i="63"/>
  <c r="Q44" i="63"/>
  <c r="Q45" i="63"/>
  <c r="Q41" i="63"/>
  <c r="H323" i="18" l="1"/>
  <c r="X513" i="18"/>
  <c r="T133" i="18"/>
  <c r="I24" i="63"/>
  <c r="I25" i="63"/>
  <c r="G25" i="63"/>
  <c r="H25" i="63"/>
  <c r="J25" i="63" l="1"/>
  <c r="K25" i="63" s="1"/>
  <c r="X512" i="18"/>
  <c r="G47" i="63"/>
  <c r="H47" i="63"/>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T131"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0" i="18"/>
  <c r="X509" i="18" l="1"/>
  <c r="T129" i="18"/>
  <c r="X508" i="18" l="1"/>
  <c r="T128"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7" i="18"/>
  <c r="I35" i="63"/>
  <c r="G36" i="63"/>
  <c r="H36" i="63"/>
  <c r="N37" i="63" s="1"/>
  <c r="O36" i="63"/>
  <c r="J36" i="63" l="1"/>
  <c r="K36" i="63" s="1"/>
  <c r="T126" i="18"/>
  <c r="I34" i="63"/>
  <c r="G35" i="63"/>
  <c r="H35" i="63"/>
  <c r="N36" i="63" s="1"/>
  <c r="O35" i="63"/>
  <c r="O49" i="63"/>
  <c r="J35" i="63" l="1"/>
  <c r="K35" i="63" s="1"/>
  <c r="J190" i="60"/>
  <c r="H190" i="60"/>
  <c r="F190" i="60"/>
  <c r="T125" i="18" l="1"/>
  <c r="X506" i="18"/>
  <c r="I32" i="63"/>
  <c r="O32" i="63"/>
  <c r="I33" i="63"/>
  <c r="O33" i="63"/>
  <c r="O34" i="63"/>
  <c r="G34" i="63"/>
  <c r="H34" i="63"/>
  <c r="N35" i="63" s="1"/>
  <c r="G33" i="63"/>
  <c r="H33" i="63"/>
  <c r="N34" i="63" l="1"/>
  <c r="J34" i="63"/>
  <c r="K34" i="63" s="1"/>
  <c r="J33" i="63"/>
  <c r="K33" i="63" s="1"/>
  <c r="X505" i="18"/>
  <c r="S174" i="18"/>
  <c r="X504" i="18" l="1"/>
  <c r="T124" i="18" l="1"/>
  <c r="G32" i="63"/>
  <c r="H32" i="63"/>
  <c r="I30" i="63"/>
  <c r="I31" i="63"/>
  <c r="G31" i="63"/>
  <c r="H31" i="63"/>
  <c r="O31" i="63"/>
  <c r="N32" i="63" l="1"/>
  <c r="N33" i="63"/>
  <c r="J32" i="63"/>
  <c r="K32" i="63" s="1"/>
  <c r="J31" i="63"/>
  <c r="K31" i="63" s="1"/>
  <c r="T61" i="18"/>
  <c r="O30" i="63"/>
  <c r="G30" i="63"/>
  <c r="H30" i="63"/>
  <c r="J30" i="63" l="1"/>
  <c r="K30" i="63" s="1"/>
  <c r="N31" i="63"/>
  <c r="X503"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2" i="18" l="1"/>
  <c r="L51" i="18"/>
  <c r="J64" i="18"/>
  <c r="P49" i="63" l="1"/>
  <c r="I10" i="63" l="1"/>
  <c r="G10" i="63"/>
  <c r="H10" i="63"/>
  <c r="J10" i="63" l="1"/>
  <c r="K10" i="63" s="1"/>
  <c r="L16" i="18" l="1"/>
  <c r="L49" i="18"/>
  <c r="D176" i="58"/>
  <c r="I45" i="63" l="1"/>
  <c r="H45" i="63"/>
  <c r="G45" i="63"/>
  <c r="I44" i="63"/>
  <c r="H44" i="63"/>
  <c r="J45" i="63" l="1"/>
  <c r="K45" i="63" s="1"/>
  <c r="J44" i="63"/>
  <c r="K44" i="63" s="1"/>
  <c r="T94" i="18"/>
  <c r="T95"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79" i="63" l="1"/>
  <c r="H79" i="63"/>
  <c r="G79" i="63"/>
  <c r="G80" i="63"/>
  <c r="H80" i="63"/>
  <c r="I80" i="63"/>
  <c r="N80" i="63"/>
  <c r="G81" i="63"/>
  <c r="H81" i="63"/>
  <c r="I81" i="63"/>
  <c r="N81" i="63"/>
  <c r="S18" i="63"/>
  <c r="U18" i="63" s="1"/>
  <c r="S19" i="63"/>
  <c r="U19" i="63" s="1"/>
  <c r="S20" i="63"/>
  <c r="S21" i="63"/>
  <c r="T21" i="63"/>
  <c r="U21" i="63"/>
  <c r="J79" i="63" l="1"/>
  <c r="K79" i="63" s="1"/>
  <c r="J81" i="63"/>
  <c r="K81" i="63" s="1"/>
  <c r="J80" i="63"/>
  <c r="K80" i="63" s="1"/>
  <c r="M67" i="63" l="1"/>
  <c r="M63" i="63"/>
  <c r="M64" i="63"/>
  <c r="H76"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6" i="63"/>
  <c r="M65" i="63"/>
  <c r="F29" i="60"/>
  <c r="E6" i="60" l="1"/>
  <c r="L6" i="60" s="1"/>
  <c r="F3" i="60" l="1"/>
  <c r="F4" i="60"/>
  <c r="F2" i="60"/>
  <c r="H75" i="63" l="1"/>
  <c r="X491" i="18" l="1"/>
  <c r="H74" i="63"/>
  <c r="N79" i="63"/>
  <c r="K113" i="18" l="1"/>
  <c r="M62" i="63" l="1"/>
  <c r="N52" i="18"/>
  <c r="I49" i="63"/>
  <c r="G49" i="63"/>
  <c r="H49" i="63"/>
  <c r="J49" i="63" l="1"/>
  <c r="K49"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5" i="63"/>
  <c r="M56" i="63"/>
  <c r="M57" i="63"/>
  <c r="M58" i="63"/>
  <c r="M59" i="63"/>
  <c r="M60" i="63"/>
  <c r="M61" i="63"/>
  <c r="M54" i="63"/>
  <c r="H73" i="63"/>
  <c r="I29" i="68" l="1"/>
  <c r="I41" i="68" s="1"/>
  <c r="X487" i="18"/>
  <c r="H72"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1"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1" i="63" l="1"/>
  <c r="G61" i="63"/>
  <c r="I60" i="63"/>
  <c r="G60" i="63"/>
  <c r="H60" i="63"/>
  <c r="J61" i="63" l="1"/>
  <c r="K61" i="63" s="1"/>
  <c r="J60" i="63"/>
  <c r="K60"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6" i="63"/>
  <c r="I57" i="63"/>
  <c r="I58" i="63"/>
  <c r="I59" i="63"/>
  <c r="I55"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8"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5" i="63"/>
  <c r="H55" i="63"/>
  <c r="J55" i="63" s="1"/>
  <c r="K55"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7" i="63"/>
  <c r="H57" i="63"/>
  <c r="J57" i="63" s="1"/>
  <c r="K57" i="63" s="1"/>
  <c r="G58" i="63"/>
  <c r="H58" i="63"/>
  <c r="J58" i="63" s="1"/>
  <c r="G59" i="63"/>
  <c r="H59" i="63"/>
  <c r="G56" i="63"/>
  <c r="H56" i="63"/>
  <c r="J56" i="63" s="1"/>
  <c r="K56" i="63" s="1"/>
  <c r="X436" i="18"/>
  <c r="R107" i="60" l="1"/>
  <c r="S108" i="60"/>
  <c r="J59" i="63"/>
  <c r="K59" i="63" s="1"/>
  <c r="K58"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76" i="18"/>
  <c r="T77" i="18" s="1"/>
  <c r="S170" i="18"/>
  <c r="S168" i="18"/>
  <c r="D57" i="51"/>
  <c r="T78" i="18" l="1"/>
  <c r="T79" i="18" s="1"/>
  <c r="T80" i="18" s="1"/>
  <c r="AM117" i="18"/>
  <c r="AN118" i="18"/>
  <c r="AN117" i="18" l="1"/>
  <c r="AM116" i="18"/>
  <c r="T81" i="18"/>
  <c r="T82" i="18" s="1"/>
  <c r="N33" i="18"/>
  <c r="S167"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3" i="18"/>
  <c r="W133" i="18" l="1"/>
  <c r="W132" i="18"/>
  <c r="W139" i="18"/>
  <c r="W131" i="18"/>
  <c r="W138"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40"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50" i="18"/>
  <c r="X152"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3" i="18" l="1"/>
  <c r="X133" i="18"/>
  <c r="X131" i="18"/>
  <c r="Y131" i="18"/>
  <c r="X132" i="18"/>
  <c r="Y132" i="18"/>
  <c r="Y139" i="18"/>
  <c r="X139" i="18"/>
  <c r="X138" i="18"/>
  <c r="Y138"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40" i="18"/>
  <c r="Y140"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6"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51" i="18"/>
  <c r="G139" i="18" s="1"/>
  <c r="G302" i="20"/>
  <c r="K303" i="20"/>
  <c r="I303" i="20"/>
  <c r="J303" i="20"/>
  <c r="Y26" i="18"/>
  <c r="X81" i="18"/>
  <c r="Y81" i="18"/>
  <c r="X25" i="18"/>
  <c r="Y25" i="18"/>
  <c r="Y24" i="18"/>
  <c r="X80" i="18"/>
  <c r="Y80" i="18"/>
  <c r="X23" i="18"/>
  <c r="X79" i="18"/>
  <c r="Y79" i="18"/>
  <c r="X78" i="18"/>
  <c r="Y78" i="18"/>
  <c r="X149" i="18"/>
  <c r="Y77" i="18"/>
  <c r="X77" i="18"/>
  <c r="X22" i="18"/>
  <c r="Y22" i="18"/>
  <c r="X20" i="18"/>
  <c r="Y20" i="18"/>
  <c r="X107" i="18"/>
  <c r="Y107"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<sst xmlns="http://schemas.openxmlformats.org/spreadsheetml/2006/main" count="16991" uniqueCount="7065">
  <si>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</si>
  <si>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</si>
  <si>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</si>
  <si>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</si>
  <si>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</si>
  <si>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</si>
  <si>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</si>
  <si>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</si>
  <si>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</si>
  <si>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</si>
  <si>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</si>
  <si>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</si>
  <si>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</si>
  <si>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</si>
  <si>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</si>
  <si>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</si>
  <si>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</si>
  <si>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</si>
  <si>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</si>
  <si>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</si>
  <si>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</si>
  <si>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</si>
  <si>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</si>
  <si>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</si>
  <si>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</si>
  <si>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</si>
  <si>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</si>
  <si>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</si>
  <si>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</si>
  <si>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</si>
  <si>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</si>
  <si>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</si>
  <si>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</si>
  <si>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</si>
  <si>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</si>
  <si>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</si>
  <si>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</si>
  <si>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</si>
  <si>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</si>
  <si>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</si>
  <si>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</si>
  <si>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</si>
  <si>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</si>
  <si>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</si>
  <si>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</si>
  <si>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</si>
  <si>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</si>
  <si>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</si>
  <si>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</si>
  <si>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</si>
  <si>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</si>
  <si>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</si>
  <si>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</si>
  <si>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</si>
  <si>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</si>
  <si>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</si>
  <si>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</si>
  <si>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</si>
  <si>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</si>
  <si>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</si>
  <si>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</si>
  <si>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</si>
  <si>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</si>
  <si>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</si>
  <si>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</si>
  <si>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</si>
  <si>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</si>
  <si>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</si>
  <si>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</si>
  <si>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</si>
  <si>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</si>
  <si>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</si>
  <si>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</si>
  <si>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</si>
  <si>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</si>
  <si>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</si>
  <si>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</si>
  <si>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</si>
  <si>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</si>
  <si>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</si>
  <si>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</si>
  <si>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</si>
  <si>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</si>
  <si>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</si>
  <si>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</si>
  <si>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</si>
  <si>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</si>
  <si>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</si>
  <si>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</si>
  <si>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</si>
  <si>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</si>
  <si>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</si>
  <si>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</si>
  <si>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</si>
  <si>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</si>
  <si>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</si>
  <si>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</si>
  <si>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</si>
  <si>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</si>
  <si>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</si>
  <si>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</si>
  <si>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</si>
  <si>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</si>
  <si>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</si>
  <si>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</si>
  <si>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</si>
  <si>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</si>
  <si>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</si>
  <si>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</si>
  <si>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</si>
  <si>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</si>
  <si>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</si>
  <si>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</si>
  <si>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</si>
  <si>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</si>
  <si>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</si>
  <si>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</si>
  <si>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</si>
  <si>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</si>
  <si>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</si>
  <si>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</si>
  <si>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</si>
  <si>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</si>
  <si>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</si>
  <si>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</si>
  <si>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</si>
  <si>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</si>
  <si>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</si>
  <si>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</si>
  <si>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</si>
  <si>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</si>
  <si>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</si>
  <si>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</si>
  <si>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</si>
  <si>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</si>
  <si>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</si>
  <si>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</si>
  <si>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</si>
  <si>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</si>
  <si>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</si>
  <si>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</si>
  <si>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</si>
  <si>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</si>
  <si>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</si>
  <si>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</si>
  <si>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</si>
  <si>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</si>
  <si>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</si>
  <si>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</si>
  <si>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</si>
  <si>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</si>
  <si>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</si>
  <si>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</si>
  <si>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</si>
  <si>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</si>
  <si>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</si>
  <si>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</si>
  <si>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</si>
  <si>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</si>
  <si>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</si>
  <si>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</si>
  <si>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</si>
  <si>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</si>
  <si>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</si>
  <si>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</si>
  <si>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</si>
  <si>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</si>
  <si>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</si>
  <si>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</si>
  <si>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</si>
  <si>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</si>
  <si>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</si>
  <si>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</si>
  <si>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</si>
  <si>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</si>
  <si>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</si>
  <si>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</si>
  <si>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</si>
  <si>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</si>
  <si>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</si>
  <si>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</si>
  <si>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</si>
  <si>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</si>
  <si>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</si>
  <si>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</si>
  <si>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</si>
  <si>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</si>
  <si>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</si>
  <si>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</si>
  <si>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</si>
  <si>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</si>
  <si>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</si>
  <si>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</si>
  <si>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</si>
  <si>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</si>
  <si>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</si>
  <si>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</si>
  <si>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</si>
  <si>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</si>
  <si>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</si>
  <si>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</si>
  <si>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</si>
  <si>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</si>
  <si>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</si>
  <si>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</si>
  <si>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</si>
  <si>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</si>
  <si>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</si>
  <si>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</si>
  <si>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</si>
  <si>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</si>
  <si>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</si>
  <si>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</si>
  <si>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</si>
  <si>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</si>
  <si>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</si>
  <si>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</si>
  <si>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</si>
  <si>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</si>
  <si>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</si>
  <si>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</si>
  <si>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</si>
  <si>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</si>
  <si>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</si>
  <si>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</si>
  <si>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</si>
  <si>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</si>
  <si>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</si>
  <si>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</si>
  <si>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</si>
  <si>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</si>
  <si>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</si>
  <si>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</si>
  <si>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</si>
  <si>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</si>
  <si>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</si>
  <si>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</si>
  <si>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</si>
  <si>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</si>
  <si>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</si>
  <si>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</si>
  <si>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</si>
  <si>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</si>
  <si>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</si>
  <si>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</si>
  <si>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</si>
  <si>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</si>
  <si>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</si>
  <si>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</si>
  <si>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</si>
  <si>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</si>
  <si>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</si>
  <si>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</si>
  <si>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</si>
  <si>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</si>
  <si>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</si>
  <si>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</si>
  <si>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</si>
  <si>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</si>
  <si>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</si>
  <si>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</si>
  <si>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</si>
  <si>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</si>
  <si>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</si>
  <si>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</si>
  <si>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</si>
  <si>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</si>
  <si>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</si>
  <si>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</si>
  <si>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</si>
  <si>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</si>
  <si>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</si>
  <si>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</si>
  <si>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</si>
  <si>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</si>
  <si>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</si>
  <si>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</si>
  <si>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</si>
  <si>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</si>
  <si>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</si>
  <si>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</si>
  <si>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</si>
  <si>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</si>
  <si>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</si>
  <si>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</si>
  <si>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</si>
  <si>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</si>
  <si>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</si>
  <si>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</si>
  <si>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</si>
  <si>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</si>
  <si>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</si>
  <si>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</si>
  <si>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</si>
  <si>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</si>
  <si>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</si>
  <si>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</si>
  <si>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</si>
  <si>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</si>
  <si>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</si>
  <si>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</si>
  <si>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</si>
  <si>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</si>
  <si>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</si>
  <si>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</si>
  <si>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</si>
  <si>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</si>
  <si>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</si>
  <si>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</si>
  <si>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</si>
  <si>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</si>
  <si>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</si>
  <si>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</si>
  <si>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</si>
  <si>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</si>
  <si>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</si>
  <si>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</si>
  <si>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</si>
  <si>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</si>
  <si>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</si>
  <si>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</si>
  <si>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</si>
  <si>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</si>
  <si>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</si>
  <si>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</si>
  <si>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</si>
  <si>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</si>
  <si>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</si>
  <si>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</si>
  <si>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</si>
  <si>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</si>
  <si>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</si>
  <si>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</si>
  <si>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</si>
  <si>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</si>
  <si>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</si>
  <si>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</si>
  <si>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</si>
  <si>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</si>
  <si>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</si>
  <si>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</si>
  <si>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</si>
  <si>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</si>
  <si>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</si>
  <si>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</si>
  <si>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</si>
  <si>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</si>
  <si>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</si>
  <si>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</si>
  <si>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</si>
  <si>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</si>
  <si>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</si>
  <si>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</si>
  <si>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</si>
  <si>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</si>
  <si>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</si>
  <si>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</si>
  <si>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</si>
  <si>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</si>
  <si>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</si>
  <si>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</si>
  <si>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</si>
  <si>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</si>
  <si>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</si>
  <si>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</si>
  <si>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</si>
  <si>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</si>
  <si>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</si>
  <si>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</si>
  <si>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</si>
  <si>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</si>
  <si>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</si>
  <si>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</si>
  <si>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</si>
  <si>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</si>
  <si>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</si>
  <si>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</si>
  <si>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</si>
  <si>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</si>
  <si>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</si>
  <si>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</si>
  <si>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</si>
  <si>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</si>
  <si>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</si>
  <si>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</si>
  <si>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</si>
  <si>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</si>
  <si>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</si>
  <si>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</si>
  <si>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</si>
  <si>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</si>
  <si>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</si>
  <si>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</si>
  <si>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</si>
  <si>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</si>
  <si>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</si>
  <si>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</si>
  <si>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</si>
  <si>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</si>
  <si>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</si>
  <si>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</si>
  <si>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</si>
  <si>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</si>
  <si>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</si>
  <si>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</si>
  <si>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</si>
  <si>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</si>
  <si>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</si>
  <si>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</si>
  <si>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</si>
  <si>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</si>
  <si>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</si>
  <si>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</si>
  <si>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</si>
  <si>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</si>
  <si>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</si>
  <si>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</si>
  <si>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</si>
  <si>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</si>
  <si>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</si>
  <si>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</si>
  <si>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</si>
  <si>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</si>
  <si>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</si>
  <si>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</si>
  <si>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</si>
  <si>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</si>
  <si>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</si>
  <si>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</si>
  <si>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</si>
  <si>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</si>
  <si>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</si>
  <si>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</si>
  <si>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</si>
  <si>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</si>
  <si>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</si>
  <si>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</si>
  <si>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</si>
  <si>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</si>
  <si>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</si>
  <si>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</si>
  <si>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</si>
  <si>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</si>
  <si>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</si>
  <si>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</si>
  <si>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</si>
  <si>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</si>
  <si>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</si>
  <si>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</si>
  <si>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</si>
  <si>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</si>
  <si>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</si>
  <si>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</si>
  <si>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</si>
  <si>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</si>
  <si>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</si>
  <si>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</si>
  <si>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</si>
  <si>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</si>
  <si>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</si>
  <si>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</si>
  <si>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</si>
  <si>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</si>
  <si>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</si>
  <si>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</si>
  <si>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</si>
  <si>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</si>
  <si>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</si>
  <si>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</si>
  <si>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</si>
  <si>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</si>
  <si>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</si>
  <si>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</si>
  <si>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</si>
  <si>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</si>
  <si>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</si>
  <si>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</si>
  <si>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</si>
  <si>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</si>
  <si>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</si>
  <si>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</si>
  <si>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</si>
  <si>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</si>
  <si>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</si>
  <si>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</si>
  <si>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</si>
  <si>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</si>
  <si>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</si>
  <si>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</si>
  <si>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</si>
  <si>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</si>
  <si>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</si>
  <si>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</si>
  <si>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</si>
  <si>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</si>
  <si>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</si>
  <si>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</si>
  <si>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</si>
  <si>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</si>
  <si>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</si>
  <si>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</si>
  <si>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</si>
  <si>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</si>
  <si>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</si>
  <si>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</si>
  <si>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</si>
  <si>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</si>
  <si>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</si>
  <si>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</si>
  <si>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</si>
  <si>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</si>
  <si>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</si>
  <si>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</si>
  <si>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</si>
  <si>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</si>
  <si>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</si>
  <si>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</si>
  <si>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</si>
  <si>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</si>
  <si>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</si>
  <si>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</si>
  <si>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</si>
  <si>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</si>
  <si>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</si>
  <si>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</si>
  <si>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</si>
  <si>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</si>
  <si>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</si>
  <si>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</si>
  <si>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</si>
  <si>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</si>
  <si>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</si>
  <si>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</si>
  <si>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</si>
  <si>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</si>
  <si>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</si>
  <si>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</si>
  <si>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</si>
  <si>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</si>
  <si>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</si>
  <si>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</si>
  <si>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</si>
  <si>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</si>
  <si>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</si>
  <si>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</si>
  <si>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</si>
  <si>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</si>
  <si>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</si>
  <si>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</si>
  <si>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</si>
  <si>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</si>
  <si>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</si>
  <si>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</si>
  <si>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</si>
  <si>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</si>
  <si>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</si>
  <si>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</si>
  <si>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</si>
  <si>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</si>
  <si>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</si>
  <si>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</si>
  <si>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</si>
  <si>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</si>
  <si>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</si>
  <si>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</si>
  <si>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</si>
  <si>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</si>
  <si>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</si>
  <si>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</si>
  <si>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</si>
  <si>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</si>
  <si>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</si>
  <si>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</si>
  <si>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</si>
  <si>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</si>
  <si>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</si>
  <si>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</si>
  <si>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</si>
  <si>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</si>
  <si>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</si>
  <si>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</si>
  <si>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</si>
  <si>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</si>
  <si>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</si>
  <si>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</si>
  <si>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</si>
  <si>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</si>
  <si>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</si>
  <si>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</si>
  <si>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</si>
  <si>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</si>
  <si>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</si>
  <si>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</si>
  <si>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</si>
  <si>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</si>
  <si>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</si>
  <si>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</si>
  <si>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</si>
  <si>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</si>
  <si>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</si>
  <si>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</si>
  <si>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</si>
  <si>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</si>
  <si>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</si>
  <si>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</si>
  <si>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</si>
  <si>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</si>
  <si>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</si>
  <si>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</si>
  <si>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</si>
  <si>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</si>
  <si>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</si>
  <si>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</si>
  <si>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</si>
  <si>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</si>
  <si>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</si>
  <si>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</si>
  <si>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</si>
  <si>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</si>
  <si>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</si>
  <si>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</si>
  <si>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</si>
  <si>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</si>
  <si>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</si>
  <si>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</si>
  <si>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</si>
  <si>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</si>
  <si>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</si>
  <si>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</si>
  <si>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</si>
  <si>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</si>
  <si>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</si>
  <si>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</si>
  <si>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</si>
  <si>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</si>
  <si>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</si>
  <si>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</si>
  <si>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</si>
  <si>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</si>
  <si>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</si>
  <si>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</si>
  <si>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</si>
  <si>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</si>
  <si>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</si>
  <si>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</si>
  <si>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</si>
  <si>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</si>
  <si>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</si>
  <si>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</si>
  <si>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</si>
  <si>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</si>
  <si>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</si>
  <si>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</si>
  <si>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</si>
  <si>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</si>
  <si>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</si>
  <si>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</si>
  <si>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</si>
  <si>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</si>
  <si>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</si>
  <si>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</si>
  <si>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</si>
  <si>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</si>
  <si>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</si>
  <si>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</si>
  <si>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</si>
  <si>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</si>
  <si>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</si>
  <si>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</si>
  <si>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</si>
  <si>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</si>
  <si>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</si>
  <si>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</si>
  <si>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</si>
  <si>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</si>
  <si>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</si>
  <si>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</si>
  <si>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</si>
  <si>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</si>
  <si>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</si>
  <si>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</si>
  <si>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</si>
  <si>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</si>
  <si>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</si>
  <si>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</si>
  <si>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</si>
  <si>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</si>
  <si>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</si>
  <si>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</si>
  <si>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</si>
  <si>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</si>
  <si>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</si>
  <si>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</si>
  <si>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</si>
  <si>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</si>
  <si>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</si>
  <si>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</si>
  <si>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</si>
  <si>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</si>
  <si>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</si>
  <si>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</si>
  <si>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</si>
  <si>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</si>
  <si>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</si>
  <si>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</si>
  <si>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</si>
  <si>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</si>
  <si>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</si>
  <si>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</si>
  <si>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</si>
  <si>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</si>
  <si>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</si>
  <si>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</si>
  <si>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</si>
  <si>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</si>
  <si>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</si>
  <si>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</si>
  <si>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</si>
  <si>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</si>
  <si>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</si>
  <si>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</si>
  <si>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</si>
  <si>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</si>
  <si>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</si>
  <si>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</si>
  <si>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</si>
  <si>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</si>
  <si>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</si>
  <si>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</si>
  <si>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</si>
  <si>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</si>
  <si>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</si>
  <si>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</si>
  <si>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</si>
  <si>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</si>
  <si>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</si>
  <si>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</si>
  <si>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</si>
  <si>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</si>
  <si>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</si>
  <si>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</si>
  <si>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</si>
  <si>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</si>
  <si>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</si>
  <si>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</si>
  <si>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</si>
  <si>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</si>
  <si>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</si>
  <si>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</si>
  <si>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</si>
  <si>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</si>
  <si>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</si>
  <si>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</si>
  <si>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</si>
  <si>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</si>
  <si>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</si>
  <si>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</si>
  <si>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</si>
  <si>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</si>
  <si>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</si>
  <si>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</si>
  <si>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</si>
  <si>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</si>
  <si>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</si>
  <si>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</si>
  <si>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</si>
  <si>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</si>
  <si>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</si>
  <si>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</si>
  <si>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</si>
  <si>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</si>
  <si>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</si>
  <si>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</si>
  <si>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</si>
  <si>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</si>
  <si>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</si>
  <si>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</si>
  <si>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</si>
  <si>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</si>
  <si>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</si>
  <si>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</si>
  <si>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</si>
  <si>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</si>
  <si>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</si>
  <si>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</si>
  <si>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</si>
  <si>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</si>
  <si>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</si>
  <si>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</si>
  <si>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</si>
  <si>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</si>
  <si>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</si>
  <si>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</si>
  <si>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</si>
  <si>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</si>
  <si>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</si>
  <si>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</si>
  <si>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</si>
  <si>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</si>
  <si>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</si>
  <si>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</si>
  <si>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</si>
  <si>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</si>
  <si>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</si>
  <si>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</si>
  <si>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</si>
  <si>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</si>
  <si>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</si>
  <si>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</si>
  <si>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</si>
  <si>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</si>
  <si>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</si>
  <si>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</si>
  <si>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</si>
  <si>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</si>
  <si>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</si>
  <si>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</si>
  <si>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</si>
  <si>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</si>
  <si>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</si>
  <si>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</si>
  <si>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</si>
  <si>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</si>
  <si>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</si>
  <si>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</si>
  <si>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</si>
  <si>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</si>
  <si>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</si>
  <si>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</si>
  <si>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</si>
  <si>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</si>
  <si>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</si>
  <si>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</si>
  <si>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</si>
  <si>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</si>
  <si>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</si>
  <si>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</si>
  <si>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</si>
  <si>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</si>
  <si>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</si>
  <si>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</si>
  <si>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</si>
  <si>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</si>
  <si>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</si>
  <si>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</si>
  <si>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</si>
  <si>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</si>
  <si>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</si>
  <si>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</si>
  <si>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</si>
  <si>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</si>
  <si>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</si>
  <si>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</si>
  <si>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</si>
  <si>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</si>
  <si>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</si>
  <si>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</si>
  <si>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</si>
  <si>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</si>
  <si>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</si>
  <si>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</si>
  <si>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</si>
  <si>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</si>
  <si>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</si>
  <si>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</si>
  <si>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</si>
  <si>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</si>
  <si>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</si>
  <si>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</si>
  <si>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</si>
  <si>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</si>
  <si>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</si>
  <si>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</si>
  <si>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</si>
  <si>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</si>
  <si>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</si>
  <si>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</si>
  <si>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</si>
  <si>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</si>
  <si>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</si>
  <si>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</si>
  <si>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</si>
  <si>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</si>
  <si>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</si>
  <si>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</si>
  <si>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</si>
  <si>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</si>
  <si>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</si>
  <si>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</si>
  <si>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</si>
  <si>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</si>
  <si>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</si>
  <si>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</si>
  <si>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</si>
  <si>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</si>
  <si>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</si>
  <si>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</si>
  <si>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</si>
  <si>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</si>
  <si>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</si>
  <si>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</si>
  <si>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</si>
  <si>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</si>
  <si>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</si>
  <si>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</si>
  <si>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</si>
  <si>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</si>
  <si>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</si>
  <si>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</si>
  <si>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</si>
  <si>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</si>
  <si>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</si>
  <si>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</si>
  <si>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</si>
  <si>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</si>
  <si>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</si>
  <si>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</si>
  <si>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</si>
  <si>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</si>
  <si>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</si>
  <si>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</si>
  <si>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</si>
  <si>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</si>
  <si>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</si>
  <si>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</si>
  <si>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</si>
  <si>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</si>
  <si>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</si>
  <si>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</si>
  <si>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</si>
  <si>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</si>
  <si>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</si>
  <si>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</si>
  <si>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</si>
  <si>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</si>
  <si>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</si>
  <si>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</si>
  <si>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</si>
  <si>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</si>
  <si>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</si>
  <si>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</si>
  <si>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</si>
  <si>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</si>
  <si>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</si>
  <si>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</si>
  <si>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</si>
  <si>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</si>
  <si>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</si>
  <si>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</si>
  <si>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</si>
  <si>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</si>
  <si>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</si>
  <si>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</si>
  <si>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</si>
  <si>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</si>
  <si>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</si>
  <si>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</si>
  <si>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</si>
  <si>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</si>
  <si>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</si>
  <si>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</si>
  <si>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</si>
  <si>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</si>
  <si>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</si>
  <si>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</si>
  <si>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</si>
  <si>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</si>
  <si>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</si>
  <si>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</si>
  <si>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</si>
  <si>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</si>
  <si>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</si>
  <si>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</si>
  <si>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</si>
  <si>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</si>
  <si>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</si>
  <si>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</si>
  <si>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</si>
  <si>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</si>
  <si>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</si>
  <si>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</si>
  <si>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</si>
  <si>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</si>
  <si>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</si>
  <si>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</si>
  <si>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</si>
  <si>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</si>
  <si>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</si>
  <si>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</si>
  <si>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</si>
  <si>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</si>
  <si>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</si>
  <si>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</si>
  <si>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</si>
  <si>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</si>
  <si>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</si>
  <si>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</si>
  <si>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</si>
  <si>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</si>
  <si>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</si>
  <si>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</si>
  <si>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</si>
  <si>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</si>
  <si>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</si>
  <si>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</si>
  <si>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</si>
  <si>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</si>
  <si>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</si>
  <si>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</si>
  <si>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</si>
  <si>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</si>
  <si>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</si>
  <si>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</si>
  <si>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</si>
  <si>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</si>
  <si>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</si>
  <si>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</si>
  <si>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</si>
  <si>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</si>
  <si>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</si>
  <si>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</si>
  <si>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</si>
  <si>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</si>
  <si>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</si>
  <si>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</si>
  <si>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</si>
  <si>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</si>
  <si>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</si>
  <si>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</si>
  <si>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</si>
  <si>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</si>
  <si>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</si>
  <si>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</si>
  <si>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</si>
  <si>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</si>
  <si>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</si>
  <si>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</si>
  <si>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</si>
  <si>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</si>
  <si>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</si>
  <si>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</si>
  <si>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</si>
  <si>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</si>
  <si>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</si>
  <si>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</si>
  <si>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</si>
  <si>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</si>
  <si>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</si>
  <si>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</si>
  <si>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</si>
  <si>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</si>
  <si>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</si>
  <si>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</si>
  <si>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</si>
  <si>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</si>
  <si>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</si>
  <si>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</si>
  <si>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</si>
  <si>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</si>
  <si>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</si>
  <si>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</si>
  <si>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</si>
  <si>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</si>
  <si>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</si>
  <si>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</si>
  <si>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</si>
  <si>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</si>
  <si>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</si>
  <si>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</si>
  <si>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</si>
  <si>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</si>
  <si>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</si>
  <si>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</si>
  <si>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</si>
  <si>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</si>
  <si>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</si>
  <si>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</si>
  <si>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</si>
  <si>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</si>
  <si>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</si>
  <si>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</si>
  <si>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</si>
  <si>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</si>
  <si>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</si>
  <si>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</si>
  <si>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</si>
  <si>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</si>
  <si>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</si>
  <si>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</si>
  <si>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</si>
  <si>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</si>
  <si>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</si>
  <si>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</si>
  <si>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</si>
  <si>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</si>
  <si>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</si>
  <si>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</si>
  <si>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</si>
  <si>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</si>
  <si>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</si>
  <si>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</si>
  <si>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</si>
  <si>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</si>
  <si>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</si>
  <si>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</si>
  <si>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</si>
  <si>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</si>
  <si>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</si>
  <si>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</si>
  <si>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</si>
  <si>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</si>
  <si>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</si>
  <si>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</si>
  <si>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</si>
  <si>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</si>
  <si>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</si>
  <si>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</si>
  <si>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</si>
  <si>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</si>
  <si>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</si>
  <si>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</si>
  <si>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</si>
  <si>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</si>
  <si>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</si>
  <si>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</si>
  <si>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</si>
  <si>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</si>
  <si>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</si>
  <si>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</si>
  <si>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</si>
  <si>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</si>
  <si>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</si>
  <si>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</si>
  <si>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</si>
  <si>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</si>
  <si>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</si>
  <si>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</si>
  <si>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</si>
  <si>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</si>
  <si>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</si>
  <si>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</si>
  <si>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</si>
  <si>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</si>
  <si>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</si>
  <si>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</si>
  <si>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</si>
  <si>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</si>
  <si>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</si>
  <si>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</si>
  <si>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</si>
  <si>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</si>
  <si>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</si>
  <si>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</si>
  <si>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</si>
  <si>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</si>
  <si>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</si>
  <si>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</si>
  <si>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</si>
  <si>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</si>
  <si>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</si>
  <si>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</si>
  <si>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</si>
  <si>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</si>
  <si>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</si>
  <si>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</si>
  <si>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</si>
  <si>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</si>
  <si>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</si>
  <si>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</si>
  <si>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</si>
  <si>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</si>
  <si>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</si>
  <si>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</si>
  <si>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</si>
  <si>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</si>
  <si>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</si>
  <si>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</si>
  <si>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</si>
  <si>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</si>
  <si>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</si>
  <si>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</si>
  <si>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</si>
  <si>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</si>
  <si>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</si>
  <si>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</si>
  <si>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</si>
  <si>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</si>
  <si>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</si>
  <si>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</si>
  <si>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</si>
  <si>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</si>
  <si>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</si>
  <si>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</si>
  <si>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</si>
  <si>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</si>
  <si>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</si>
  <si>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</si>
  <si>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</si>
  <si>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</si>
  <si>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</si>
  <si>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</si>
  <si>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</si>
  <si>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</si>
  <si>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</si>
  <si>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</si>
  <si>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</si>
  <si>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</si>
  <si>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</si>
  <si>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</si>
  <si>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</si>
  <si>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</si>
  <si>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</si>
  <si>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</si>
  <si>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</si>
  <si>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</si>
  <si>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</si>
  <si>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</si>
  <si>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</si>
  <si>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</si>
  <si>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</si>
  <si>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</si>
  <si>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</si>
  <si>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</si>
  <si>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</si>
  <si>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</si>
  <si>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</si>
  <si>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</si>
  <si>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</si>
  <si>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</si>
  <si>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</si>
  <si>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</si>
  <si>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</si>
  <si>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</si>
  <si>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</si>
  <si>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</si>
  <si>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</si>
  <si>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</si>
  <si>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</si>
  <si>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</si>
  <si>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</si>
  <si>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</si>
  <si>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</si>
  <si>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</si>
  <si>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</si>
  <si>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</si>
  <si>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</si>
  <si>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</si>
  <si>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</si>
  <si>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</si>
  <si>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</si>
  <si>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</si>
  <si>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</si>
  <si>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</si>
  <si>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</si>
  <si>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</si>
  <si>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</si>
  <si>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</si>
  <si>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</si>
  <si>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</si>
  <si>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</si>
  <si>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</si>
  <si>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</si>
  <si>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</si>
  <si>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</si>
  <si>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</si>
  <si>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</si>
  <si>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</si>
  <si>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</si>
  <si>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</si>
  <si>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</si>
  <si>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</si>
  <si>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</si>
  <si>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</si>
  <si>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</si>
  <si>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</si>
  <si>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</si>
  <si>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</si>
  <si>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</si>
  <si>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</si>
  <si>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</si>
  <si>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</si>
  <si>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</si>
  <si>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</si>
  <si>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</si>
  <si>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</si>
  <si>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</si>
  <si>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</si>
  <si>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</si>
  <si>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</si>
  <si>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</si>
  <si>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</si>
  <si>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</si>
  <si>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</si>
  <si>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</si>
  <si>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</si>
  <si>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</si>
  <si>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</si>
  <si>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</si>
  <si>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</si>
  <si>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</si>
  <si>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</si>
  <si>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</si>
  <si>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</si>
  <si>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</si>
  <si>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</si>
  <si>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</si>
  <si>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</si>
  <si>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</si>
  <si>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</si>
  <si>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</si>
  <si>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</si>
  <si>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</si>
  <si>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</si>
  <si>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</si>
  <si>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</si>
  <si>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</si>
  <si>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</si>
  <si>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</si>
  <si>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</si>
  <si>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</si>
  <si>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</si>
  <si>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</si>
  <si>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</si>
  <si>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</si>
  <si>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</si>
  <si>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</si>
  <si>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</si>
  <si>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</si>
  <si>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</si>
  <si>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</si>
  <si>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</si>
  <si>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</si>
  <si>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</si>
  <si>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</si>
  <si>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</si>
  <si>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</si>
  <si>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</si>
  <si>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</si>
  <si>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</si>
  <si>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</si>
  <si>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</si>
  <si>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</si>
  <si>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</si>
  <si>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</si>
  <si>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</si>
  <si>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</si>
  <si>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</si>
  <si>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</si>
  <si>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</si>
  <si>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</si>
  <si>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</si>
  <si>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</si>
  <si>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</si>
  <si>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</si>
  <si>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</si>
  <si>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</si>
  <si>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</si>
  <si>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</si>
  <si>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</si>
  <si>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</si>
  <si>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</si>
  <si>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</si>
  <si>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</si>
  <si>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</si>
  <si>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</si>
  <si>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</si>
  <si>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</si>
  <si>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</si>
  <si>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</si>
  <si>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</si>
  <si>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</si>
  <si>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</si>
  <si>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</si>
  <si>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</si>
  <si>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</si>
  <si>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</si>
  <si>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</si>
  <si>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</si>
  <si>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</si>
  <si>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</si>
  <si>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</si>
  <si>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</si>
  <si>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</si>
  <si>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</si>
  <si>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</si>
  <si>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</si>
  <si>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</si>
  <si>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</si>
  <si>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</si>
  <si>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</si>
  <si>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</si>
  <si>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</si>
  <si>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</si>
  <si>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</si>
  <si>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</si>
  <si>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</si>
  <si>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</si>
  <si>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</si>
  <si>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</si>
  <si>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</si>
  <si>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</si>
  <si>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</si>
  <si>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</si>
  <si>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</si>
  <si>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</si>
  <si>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</si>
  <si>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</si>
  <si>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</si>
  <si>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</si>
  <si>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</si>
  <si>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</si>
  <si>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</si>
  <si>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</si>
  <si>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</si>
  <si>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</si>
  <si>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</si>
  <si>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</si>
  <si>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</si>
  <si>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</si>
  <si>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</si>
  <si>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</si>
  <si>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</si>
  <si>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</si>
  <si>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</si>
  <si>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</si>
  <si>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</si>
  <si>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</si>
  <si>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</si>
  <si>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</si>
  <si>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</si>
  <si>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</si>
  <si>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</si>
  <si>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</si>
  <si>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</si>
  <si>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</si>
  <si>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</si>
  <si>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</si>
  <si>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</si>
  <si>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</si>
  <si>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</si>
  <si>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</si>
  <si>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</si>
  <si>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</si>
  <si>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</si>
  <si>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</si>
  <si>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</si>
  <si>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</si>
  <si>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</si>
  <si>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</si>
  <si>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</si>
  <si>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</si>
  <si>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</si>
  <si>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</si>
  <si>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</si>
  <si>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</si>
  <si>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</si>
  <si>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</si>
  <si>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</si>
  <si>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</si>
  <si>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</si>
  <si>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</si>
  <si>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</si>
  <si>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</si>
  <si>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</si>
  <si>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</si>
  <si>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</si>
  <si>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</si>
  <si>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</si>
  <si>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</si>
  <si>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</si>
  <si>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</si>
  <si>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</si>
  <si>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</si>
  <si>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</si>
  <si>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</si>
  <si>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</si>
  <si>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</si>
  <si>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</si>
  <si>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</si>
  <si>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</si>
  <si>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</si>
  <si>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</si>
  <si>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</si>
  <si>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</si>
  <si>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</si>
  <si>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</si>
  <si>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</si>
  <si>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</si>
  <si>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</si>
  <si>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</si>
  <si>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</si>
  <si>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</si>
  <si>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</si>
  <si>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</si>
  <si>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</si>
  <si>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</si>
  <si>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</si>
  <si>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</si>
  <si>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</si>
  <si>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</si>
  <si>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</si>
  <si>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</si>
  <si>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</si>
  <si>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</si>
  <si>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</si>
  <si>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</si>
  <si>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</si>
  <si>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</si>
  <si>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</si>
  <si>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</si>
  <si>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</si>
  <si>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</si>
  <si>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</si>
  <si>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</si>
  <si>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</si>
  <si>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</si>
  <si>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</si>
  <si>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</si>
  <si>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</si>
  <si>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</si>
  <si>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</si>
  <si>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</si>
  <si>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</si>
  <si>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</si>
  <si>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</si>
  <si>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</si>
  <si>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</si>
  <si>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</si>
  <si>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</si>
  <si>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</si>
  <si>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</si>
  <si>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</si>
  <si>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</si>
  <si>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</si>
  <si>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</si>
  <si>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</si>
  <si>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</si>
  <si>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</si>
  <si>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</si>
  <si>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</si>
  <si>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</si>
  <si>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</si>
  <si>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</si>
  <si>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</si>
  <si>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</si>
  <si>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</si>
  <si>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</si>
  <si>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</si>
  <si>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</si>
  <si>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</si>
  <si>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</si>
  <si>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</si>
  <si>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</si>
  <si>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</si>
  <si>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</si>
  <si>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</si>
  <si>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</si>
  <si>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</si>
  <si>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</si>
  <si>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</si>
  <si>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</si>
  <si>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</si>
  <si>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</si>
  <si>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</si>
  <si>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</si>
  <si>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</si>
  <si>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</si>
  <si>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</si>
  <si>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</si>
  <si>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</si>
  <si>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</si>
  <si>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</si>
  <si>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</si>
  <si>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</si>
  <si>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</si>
  <si>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</si>
  <si>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</si>
  <si>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</si>
  <si>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</si>
  <si>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</si>
  <si>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</si>
  <si>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</si>
  <si>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</si>
  <si>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</si>
  <si>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</si>
  <si>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</si>
  <si>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</si>
  <si>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</si>
  <si>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</si>
  <si>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</si>
  <si>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</si>
  <si>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</si>
  <si>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</si>
  <si>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</si>
  <si>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</si>
  <si>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</si>
  <si>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</si>
  <si>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</si>
  <si>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</si>
  <si>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</si>
  <si>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</si>
  <si>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</si>
  <si>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</si>
  <si>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</si>
  <si>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</si>
  <si>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</si>
  <si>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</si>
  <si>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</si>
  <si>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</si>
  <si>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</si>
  <si>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</si>
  <si>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</si>
  <si>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</si>
  <si>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</si>
  <si>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</si>
  <si>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</si>
  <si>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</si>
  <si>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</si>
  <si>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</si>
  <si>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</si>
  <si>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</si>
  <si>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</si>
  <si>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</si>
  <si>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</si>
  <si>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</si>
  <si>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</si>
  <si>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</si>
  <si>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</si>
  <si>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</si>
  <si>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</si>
  <si>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</si>
  <si>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</si>
  <si>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</si>
  <si>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</si>
  <si>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</si>
  <si>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</si>
  <si>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</si>
  <si>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</si>
  <si>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</si>
  <si>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</si>
  <si>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</si>
  <si>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</si>
  <si>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</si>
  <si>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</si>
  <si>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</si>
  <si>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</si>
  <si>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</si>
  <si>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</si>
  <si>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</si>
  <si>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</si>
  <si>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</si>
  <si>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</si>
  <si>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</si>
  <si>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</si>
  <si>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</si>
  <si>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</si>
  <si>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</si>
  <si>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</si>
  <si>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</si>
  <si>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</si>
  <si>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</si>
  <si>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</si>
  <si>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</si>
  <si>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</si>
  <si>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</si>
  <si>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</si>
  <si>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</si>
  <si>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</si>
  <si>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</si>
  <si>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</si>
  <si>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</si>
  <si>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</si>
  <si>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</si>
  <si>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</si>
  <si>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</si>
  <si>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</si>
  <si>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</si>
  <si>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</si>
  <si>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</si>
  <si>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</si>
  <si>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</si>
  <si>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</si>
  <si>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</si>
  <si>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</si>
  <si>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</si>
  <si>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</si>
  <si>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</si>
  <si>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</si>
  <si>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</si>
  <si>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</si>
  <si>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</si>
  <si>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</si>
  <si>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</si>
  <si>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</si>
  <si>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</si>
  <si>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</si>
  <si>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</si>
  <si>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</si>
  <si>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</si>
  <si>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</si>
  <si>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</si>
  <si>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</si>
  <si>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</si>
  <si>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</si>
  <si>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</si>
  <si>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</si>
  <si>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</si>
  <si>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</si>
  <si>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</si>
  <si>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</si>
  <si>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</si>
  <si>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</si>
  <si>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</si>
  <si>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</si>
  <si>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</si>
  <si>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</si>
  <si>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</si>
  <si>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</si>
  <si>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</si>
  <si>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</si>
  <si>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</si>
  <si>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</si>
  <si>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</si>
  <si>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</si>
  <si>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</si>
  <si>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</si>
  <si>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</si>
  <si>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</si>
  <si>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</si>
  <si>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</si>
  <si>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</si>
  <si>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</si>
  <si>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</si>
  <si>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</si>
  <si>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</si>
  <si>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</si>
  <si>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</si>
  <si>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</si>
  <si>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</si>
  <si>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</si>
  <si>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</si>
  <si>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</si>
  <si>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</si>
  <si>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</si>
  <si>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</si>
  <si>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</si>
  <si>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</si>
  <si>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</si>
  <si>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</si>
  <si>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</si>
  <si>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</si>
  <si>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</si>
  <si>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</si>
  <si>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</si>
  <si>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</si>
  <si>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</si>
  <si>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</si>
  <si>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</si>
  <si>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</si>
  <si>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</si>
  <si>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</si>
  <si>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</si>
  <si>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</si>
  <si>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</si>
  <si>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</si>
  <si>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</si>
  <si>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</si>
  <si>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</si>
  <si>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</si>
  <si>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</si>
  <si>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</si>
  <si>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</si>
  <si>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</si>
  <si>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</si>
  <si>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</si>
  <si>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</si>
  <si>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</si>
  <si>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</si>
  <si>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</si>
  <si>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</si>
  <si>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</si>
  <si>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</si>
  <si>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</si>
  <si>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</si>
  <si>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</si>
  <si>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</si>
  <si>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</si>
  <si>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</si>
  <si>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</si>
  <si>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</si>
  <si>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</si>
  <si>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</si>
  <si>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</si>
  <si>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</si>
  <si>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</si>
  <si>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</si>
  <si>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</si>
  <si>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</si>
  <si>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</si>
  <si>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</si>
  <si>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</si>
  <si>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</si>
  <si>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</si>
  <si>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</si>
  <si>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</si>
  <si>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</si>
  <si>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</si>
  <si>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</si>
  <si>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</si>
  <si>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</si>
  <si>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</si>
  <si>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</si>
  <si>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</si>
  <si>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</si>
  <si>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</si>
  <si>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</si>
  <si>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</si>
  <si>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</si>
  <si>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</si>
  <si>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</si>
  <si>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</si>
  <si>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</si>
  <si>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</si>
  <si>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</si>
  <si>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</si>
  <si>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</si>
  <si>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</si>
  <si>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</si>
  <si>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</si>
  <si>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</si>
  <si>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</si>
  <si>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</si>
  <si>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</si>
  <si>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</si>
  <si>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</si>
  <si>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</si>
  <si>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</si>
  <si>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</si>
  <si>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</si>
  <si>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</si>
  <si>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</si>
  <si>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</si>
  <si>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</si>
  <si>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</si>
  <si>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</si>
  <si>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</si>
  <si>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</si>
  <si>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</si>
  <si>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</si>
  <si>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</si>
  <si>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</si>
  <si>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</si>
  <si>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</si>
  <si>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</si>
  <si>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</si>
  <si>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</si>
  <si>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</si>
  <si>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</si>
  <si>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</si>
  <si>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</si>
  <si>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</si>
  <si>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</si>
  <si>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</si>
  <si>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</si>
  <si>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</si>
  <si>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</si>
  <si>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</si>
  <si>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</si>
  <si>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</si>
  <si>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</si>
  <si>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</si>
  <si>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</si>
  <si>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</si>
  <si>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</si>
  <si>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</si>
  <si>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</si>
  <si>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</si>
  <si>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</si>
  <si>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</si>
  <si>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</si>
  <si>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</si>
  <si>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</si>
  <si>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</si>
  <si>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</si>
  <si>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</si>
  <si>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</si>
  <si>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</si>
  <si>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</si>
  <si>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</si>
  <si>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</si>
  <si>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</si>
  <si>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</si>
  <si>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</si>
  <si>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</si>
  <si>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</si>
  <si>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</si>
  <si>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</si>
  <si>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</si>
  <si>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</si>
  <si>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</si>
  <si>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</si>
  <si>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</si>
  <si>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</si>
  <si>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</si>
  <si>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</si>
  <si>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</si>
  <si>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</si>
  <si>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</si>
  <si>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</si>
  <si>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</si>
  <si>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</si>
  <si>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</si>
  <si>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</si>
  <si>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</si>
  <si>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</si>
  <si>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</si>
  <si>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</si>
  <si>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</si>
  <si>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</si>
  <si>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</si>
  <si>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</si>
  <si>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</si>
  <si>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</si>
  <si>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</si>
  <si>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</si>
  <si>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</si>
  <si>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</si>
  <si>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</si>
  <si>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</si>
  <si>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</si>
  <si>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</si>
  <si>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</si>
  <si>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</si>
  <si>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</si>
  <si>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</si>
  <si>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</si>
  <si>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</si>
  <si>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</si>
  <si>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</si>
  <si>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</si>
  <si>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</si>
  <si>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</si>
  <si>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</si>
  <si>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</si>
  <si>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</si>
  <si>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</si>
  <si>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</si>
  <si>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</si>
  <si>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</si>
  <si>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</si>
  <si>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</si>
  <si>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</si>
  <si>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</si>
  <si>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</si>
  <si>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</si>
  <si>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</si>
  <si>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</si>
  <si>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</si>
  <si>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</si>
  <si>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</si>
  <si>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</si>
  <si>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</si>
  <si>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</si>
  <si>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</si>
  <si>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</si>
  <si>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</si>
  <si>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</si>
  <si>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</si>
  <si>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</si>
  <si>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</si>
  <si>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</si>
  <si>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</si>
  <si>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</si>
  <si>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</si>
  <si>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</si>
  <si>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</si>
  <si>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</si>
  <si>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</si>
  <si>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</si>
  <si>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</si>
  <si>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</si>
  <si>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</si>
  <si>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</si>
  <si>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</si>
  <si>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</si>
  <si>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</si>
  <si>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</si>
  <si>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</si>
  <si>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</si>
  <si>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</si>
  <si>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</si>
  <si>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</si>
  <si>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</si>
  <si>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</si>
  <si>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</si>
  <si>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</si>
  <si>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</si>
  <si>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</si>
  <si>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</si>
  <si>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</si>
  <si>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</si>
  <si>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</si>
  <si>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</si>
  <si>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</si>
  <si>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</si>
  <si>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</si>
  <si>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</si>
  <si>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</si>
  <si>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</si>
  <si>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</si>
  <si>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</si>
  <si>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</si>
  <si>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</si>
  <si>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</si>
  <si>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</si>
  <si>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</si>
  <si>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</si>
  <si>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</si>
  <si>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</si>
  <si>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</si>
  <si>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</si>
  <si>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</si>
  <si>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</si>
  <si>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</si>
  <si>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</si>
  <si>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</si>
  <si>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</si>
  <si>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</si>
  <si>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</si>
  <si>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</si>
  <si>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</si>
  <si>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</si>
  <si>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</si>
  <si>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</si>
  <si>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</si>
  <si>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</si>
  <si>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</si>
  <si>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</si>
  <si>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</si>
  <si>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</si>
  <si>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</si>
  <si>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</si>
  <si>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</si>
  <si>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</si>
  <si>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</si>
  <si>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</si>
  <si>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</si>
  <si>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</si>
  <si>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</si>
  <si>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</si>
  <si>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</si>
  <si>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</si>
  <si>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</si>
  <si>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</si>
  <si>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</si>
  <si>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</si>
  <si>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</si>
  <si>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</si>
  <si>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</si>
  <si>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</si>
  <si>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</si>
  <si>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</si>
  <si>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</si>
  <si>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</si>
  <si>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</si>
  <si>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</si>
  <si>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</si>
  <si>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</si>
  <si>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</si>
  <si>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</si>
  <si>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</si>
  <si>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</si>
  <si>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</si>
  <si>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</si>
  <si>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</si>
  <si>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</si>
  <si>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</si>
  <si>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</si>
  <si>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</si>
  <si>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</si>
  <si>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</si>
  <si>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</si>
  <si>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</si>
  <si>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</si>
  <si>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</si>
  <si>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</si>
  <si>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</si>
  <si>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</si>
  <si>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</si>
  <si>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</si>
  <si>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</si>
  <si>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</si>
  <si>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</si>
  <si>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</si>
  <si>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</si>
  <si>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</si>
  <si>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</si>
  <si>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</si>
  <si>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</si>
  <si>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</si>
  <si>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</si>
  <si>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</si>
  <si>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</si>
  <si>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</si>
  <si>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</si>
  <si>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</si>
  <si>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</si>
  <si>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</si>
  <si>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</si>
  <si>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</si>
  <si>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</si>
  <si>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</si>
  <si>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</si>
  <si>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</si>
  <si>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</si>
  <si>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</si>
  <si>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</si>
  <si>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</si>
  <si>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</si>
  <si>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</si>
  <si>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</si>
  <si>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</si>
  <si>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</si>
  <si>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</si>
  <si>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</si>
  <si>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</si>
  <si>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</si>
  <si>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</si>
  <si>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</si>
  <si>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</si>
  <si>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</si>
  <si>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</si>
  <si>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</si>
  <si>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</si>
  <si>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</si>
  <si>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</si>
  <si>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</si>
  <si>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</si>
  <si>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</si>
  <si>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</si>
  <si>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</si>
  <si>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</si>
  <si>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</si>
  <si>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</si>
  <si>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</si>
  <si>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</si>
  <si>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</si>
  <si>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</si>
  <si>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</si>
  <si>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</si>
  <si>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</si>
  <si>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</si>
  <si>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</si>
  <si>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</si>
  <si>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</si>
  <si>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</si>
  <si>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</si>
  <si>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</si>
  <si>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</si>
  <si>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</si>
  <si>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</si>
  <si>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</si>
  <si>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</si>
  <si>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</si>
  <si>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</si>
  <si>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</si>
  <si>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</si>
  <si>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</si>
  <si>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</si>
  <si>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</si>
  <si>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</si>
  <si>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</si>
  <si>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</si>
  <si>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</si>
  <si>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</si>
  <si>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</si>
  <si>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</si>
  <si>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</si>
  <si>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</si>
  <si>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</si>
  <si>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</si>
  <si>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</si>
  <si>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</si>
  <si>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</si>
  <si>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</si>
  <si>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</si>
  <si>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</si>
  <si>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</si>
  <si>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</si>
  <si>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</si>
  <si>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</si>
  <si>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</si>
  <si>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</si>
  <si>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</si>
  <si>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</si>
  <si>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</si>
  <si>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</si>
  <si>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</si>
  <si>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</si>
  <si>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</si>
  <si>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</si>
  <si>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</si>
  <si>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</si>
  <si>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</si>
  <si>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</si>
  <si>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</si>
  <si>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</si>
  <si>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</si>
  <si>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</si>
  <si>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</si>
  <si>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</si>
  <si>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</si>
  <si>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</si>
  <si>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</si>
  <si>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</si>
  <si>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</si>
  <si>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</si>
  <si>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</si>
  <si>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</si>
  <si>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</si>
  <si>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</si>
  <si>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</si>
  <si>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</si>
  <si>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</si>
  <si>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</si>
  <si>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</si>
  <si>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</si>
  <si>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</si>
  <si>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</si>
  <si>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</si>
  <si>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</si>
  <si>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</si>
  <si>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</si>
  <si>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</si>
  <si>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</si>
  <si>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</si>
  <si>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</si>
  <si>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</si>
  <si>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</si>
  <si>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</si>
  <si>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</si>
  <si>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</si>
  <si>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</si>
  <si>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</si>
  <si>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</si>
  <si>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</si>
  <si>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</si>
  <si>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</si>
  <si>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</si>
  <si>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</si>
  <si>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</si>
  <si>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</si>
  <si>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</si>
  <si>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</si>
  <si>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</si>
  <si>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</si>
  <si>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</si>
  <si>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</si>
  <si>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</si>
  <si>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</si>
  <si>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</si>
  <si>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</si>
  <si>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</si>
  <si>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</si>
  <si>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</si>
  <si>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</si>
  <si>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</si>
  <si>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</si>
  <si>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</si>
  <si>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</si>
  <si>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</si>
  <si>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</si>
  <si>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</si>
  <si>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</si>
  <si>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</si>
  <si>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</si>
  <si>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</si>
  <si>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</si>
  <si>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</si>
  <si>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</si>
  <si>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</si>
  <si>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</si>
  <si>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</si>
  <si>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</si>
  <si>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</si>
  <si>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</si>
  <si>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</si>
  <si>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</si>
  <si>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</si>
  <si>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</si>
  <si>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</si>
  <si>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</si>
  <si>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</si>
  <si>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</si>
  <si>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</si>
  <si>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</si>
  <si>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</si>
  <si>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</si>
  <si>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</si>
  <si>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</si>
  <si>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</si>
  <si>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</si>
  <si>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</si>
  <si>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</si>
  <si>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</si>
  <si>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</si>
  <si>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</si>
  <si>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</si>
  <si>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</si>
  <si>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</si>
  <si>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</si>
  <si>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</si>
  <si>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</si>
  <si>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</si>
  <si>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</si>
  <si>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</si>
  <si>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</si>
  <si>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</si>
  <si>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</si>
  <si>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</si>
  <si>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</si>
  <si>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</si>
  <si>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</si>
  <si>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</si>
  <si>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</si>
  <si>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</si>
  <si>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</si>
  <si>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</si>
  <si>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</si>
  <si>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</si>
  <si>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</si>
  <si>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</si>
  <si>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</si>
  <si>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</si>
  <si>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</si>
  <si>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</si>
  <si>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</si>
  <si>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</si>
  <si>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</si>
  <si>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</si>
  <si>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</si>
  <si>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</si>
  <si>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</si>
  <si>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</si>
  <si>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</si>
  <si>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</si>
  <si>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</si>
  <si>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</si>
  <si>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</si>
  <si>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</si>
  <si>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</si>
  <si>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</si>
  <si>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</si>
  <si>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</si>
  <si>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</si>
  <si>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</si>
  <si>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</si>
  <si>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</si>
  <si>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</si>
  <si>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</si>
  <si>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</si>
  <si>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</si>
  <si>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</si>
  <si>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</si>
  <si>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</si>
  <si>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</si>
  <si>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</si>
  <si>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</si>
  <si>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</si>
  <si>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</si>
  <si>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</si>
  <si>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</si>
  <si>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</si>
  <si>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</si>
  <si>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</si>
  <si>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</si>
  <si>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</si>
  <si>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</si>
  <si>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</si>
  <si>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</si>
  <si>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</si>
  <si>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</si>
  <si>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</si>
  <si>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</si>
  <si>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</si>
  <si>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</si>
  <si>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</si>
  <si>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</si>
  <si>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</si>
  <si>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</si>
  <si>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</si>
  <si>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</si>
  <si>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</si>
  <si>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</si>
  <si>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</si>
  <si>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</si>
  <si>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</si>
  <si>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</si>
  <si>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</si>
  <si>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</si>
  <si>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</si>
  <si>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</si>
  <si>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</si>
  <si>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</si>
  <si>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</si>
  <si>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</si>
  <si>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</si>
  <si>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</si>
  <si>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</si>
  <si>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</si>
  <si>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</si>
  <si>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</si>
  <si>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</si>
  <si>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</si>
  <si>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</si>
  <si>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</si>
  <si>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</si>
  <si>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</si>
  <si>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</si>
  <si>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</si>
  <si>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</si>
  <si>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</si>
  <si>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</si>
  <si>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</si>
  <si>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</si>
  <si>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</si>
  <si>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</si>
  <si>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</si>
  <si>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</si>
  <si>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</si>
  <si>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</si>
  <si>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</si>
  <si>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</si>
  <si>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</si>
  <si>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</si>
  <si>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</si>
  <si>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</si>
  <si>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</si>
  <si>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</si>
  <si>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</si>
  <si>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</si>
  <si>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</si>
  <si>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</si>
  <si>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</si>
  <si>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</si>
  <si>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</si>
  <si>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</si>
  <si>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</si>
  <si>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</si>
  <si>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</si>
  <si>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</si>
  <si>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</si>
  <si>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</si>
  <si>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</si>
  <si>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</si>
  <si>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</si>
  <si>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</si>
  <si>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</si>
  <si>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</si>
  <si>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</si>
  <si>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</si>
  <si>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</si>
  <si>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</si>
  <si>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</si>
  <si>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</si>
  <si>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</si>
  <si>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</si>
  <si>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</si>
  <si>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</si>
  <si>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</si>
  <si>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</si>
  <si>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</si>
  <si>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</si>
  <si>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</si>
  <si>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</si>
  <si>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</si>
  <si>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</si>
  <si>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</si>
  <si>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</si>
  <si>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</si>
  <si>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</si>
  <si>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</si>
  <si>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</si>
  <si>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</si>
  <si>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</si>
  <si>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</si>
  <si>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</si>
  <si>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</si>
  <si>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</si>
  <si>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</si>
  <si>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</si>
  <si>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</si>
  <si>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</si>
  <si>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</si>
  <si>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</si>
  <si>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</si>
  <si>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</si>
  <si>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</si>
  <si>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</si>
  <si>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</si>
  <si>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</si>
  <si>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</si>
  <si>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</si>
  <si>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</si>
  <si>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</si>
  <si>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</si>
  <si>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</si>
  <si>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</si>
  <si>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</si>
  <si>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</si>
  <si>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</si>
  <si>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</si>
  <si>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</si>
  <si>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</si>
  <si>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</si>
  <si>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</si>
  <si>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</si>
  <si>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</si>
  <si>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</si>
  <si>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</si>
  <si>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</si>
  <si>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</si>
  <si>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</si>
  <si>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</si>
  <si>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</si>
  <si>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</si>
  <si>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</si>
  <si>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</si>
  <si>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</si>
  <si>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</si>
  <si>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</si>
  <si>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</si>
  <si>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</si>
  <si>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</si>
  <si>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</si>
  <si>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</si>
  <si>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</si>
  <si>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</si>
  <si>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</si>
  <si>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</si>
  <si>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</si>
  <si>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</si>
  <si>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</si>
  <si>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</si>
  <si>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</si>
  <si>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</si>
  <si>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</si>
  <si>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</si>
  <si>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</si>
  <si>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</si>
  <si>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</si>
  <si>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</si>
  <si>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</si>
  <si>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</si>
  <si>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</si>
  <si>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</si>
  <si>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</si>
  <si>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</si>
  <si>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</si>
  <si>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</si>
  <si>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</si>
  <si>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</si>
  <si>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</si>
  <si>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</si>
  <si>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</si>
  <si>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</si>
  <si>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</si>
  <si>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</si>
  <si>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</si>
  <si>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</si>
  <si>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</si>
  <si>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</si>
  <si>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</si>
  <si>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</si>
  <si>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</si>
  <si>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</si>
  <si>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</si>
  <si>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</si>
  <si>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</si>
  <si>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</si>
  <si>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</si>
  <si>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</si>
  <si>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</si>
  <si>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</si>
  <si>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</si>
  <si>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</si>
  <si>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</si>
  <si>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</si>
  <si>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</si>
  <si>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</si>
  <si>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</si>
  <si>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</si>
  <si>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</si>
  <si>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</si>
  <si>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</si>
  <si>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</si>
  <si>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</si>
  <si>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</si>
  <si>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</si>
  <si>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</si>
  <si>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</si>
  <si>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</si>
  <si>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</si>
  <si>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</si>
  <si>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</si>
  <si>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</si>
  <si>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</si>
  <si>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</si>
  <si>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</si>
  <si>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</si>
  <si>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</si>
  <si>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</si>
  <si>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</si>
  <si>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</si>
  <si>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</si>
  <si>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</si>
  <si>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</si>
  <si>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</si>
  <si>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</si>
  <si>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</si>
  <si>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</si>
  <si>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</si>
  <si>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</si>
  <si>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</si>
  <si>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</si>
  <si>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</si>
  <si>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</si>
  <si>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</si>
  <si>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</si>
  <si>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</si>
  <si>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</si>
  <si>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</si>
  <si>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</si>
  <si>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</si>
  <si>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</si>
  <si>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</si>
  <si>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</si>
  <si>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</si>
  <si>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</si>
  <si>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</si>
  <si>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</si>
  <si>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</si>
  <si>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</si>
  <si>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</si>
  <si>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</si>
  <si>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</si>
  <si>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</si>
  <si>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</si>
  <si>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</si>
  <si>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</si>
  <si>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</si>
  <si>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</si>
  <si>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</si>
  <si>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</si>
  <si>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</si>
  <si>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</si>
  <si>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</si>
  <si>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</si>
  <si>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</si>
  <si>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</si>
  <si>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</si>
  <si>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</si>
  <si>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</si>
  <si>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</si>
  <si>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</si>
  <si>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</si>
  <si>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</si>
  <si>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</si>
  <si>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</si>
  <si>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</si>
  <si>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</si>
  <si>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</si>
  <si>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</si>
  <si>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</si>
  <si>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</si>
  <si>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</si>
  <si>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</si>
  <si>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</si>
  <si>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</si>
  <si>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</si>
  <si>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</si>
  <si>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</si>
  <si>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</si>
  <si>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</si>
  <si>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</si>
  <si>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</si>
  <si>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</si>
  <si>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</si>
  <si>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</si>
  <si>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</si>
  <si>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</si>
  <si>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</si>
  <si>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</si>
  <si>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</si>
  <si>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</si>
  <si>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</si>
  <si>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</si>
  <si>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</si>
  <si>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</si>
  <si>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</si>
  <si>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</si>
  <si>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</si>
  <si>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</si>
  <si>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</si>
  <si>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</si>
  <si>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</si>
  <si>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</si>
  <si>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</si>
  <si>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</si>
  <si>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</si>
  <si>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</si>
  <si>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</si>
  <si>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</si>
  <si>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</si>
  <si>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</si>
  <si>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</si>
  <si>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</si>
  <si>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</si>
  <si>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</si>
  <si>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</si>
  <si>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</si>
  <si>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</si>
  <si>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</si>
  <si>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</si>
  <si>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</si>
  <si>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</si>
  <si>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</si>
  <si>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</si>
  <si>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</si>
  <si>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</si>
  <si>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</si>
  <si>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</si>
  <si>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</si>
  <si>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</si>
  <si>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</si>
  <si>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</si>
  <si>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</si>
  <si>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</si>
  <si>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</si>
  <si>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</si>
  <si>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</si>
  <si>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</si>
  <si>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</si>
  <si>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</si>
  <si>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</si>
  <si>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</si>
  <si>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</si>
  <si>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</si>
  <si>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</si>
  <si>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</si>
  <si>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</si>
  <si>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</si>
  <si>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</si>
  <si>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</si>
  <si>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</si>
  <si>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</si>
  <si>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</si>
  <si>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</si>
  <si>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</si>
  <si>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</si>
  <si>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</si>
  <si>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</si>
  <si>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</si>
  <si>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</si>
  <si>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</si>
  <si>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</si>
  <si>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</si>
  <si>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</si>
  <si>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</si>
  <si>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</si>
  <si>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</si>
  <si>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</si>
  <si>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</si>
  <si>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</si>
  <si>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</si>
  <si>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</si>
  <si>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</si>
  <si>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</si>
  <si>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</si>
  <si>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</si>
  <si>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</si>
  <si>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</si>
  <si>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</si>
  <si>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</si>
  <si>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</si>
  <si>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</si>
  <si>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</si>
  <si>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</si>
  <si>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</si>
  <si>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</si>
  <si>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</si>
  <si>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</si>
  <si>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</si>
  <si>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</si>
  <si>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</si>
  <si>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</si>
  <si>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</si>
  <si>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</si>
  <si>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</si>
  <si>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</si>
  <si>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</si>
  <si>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</si>
  <si>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</si>
  <si>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</si>
  <si>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</si>
  <si>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</si>
  <si>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</si>
  <si>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</si>
  <si>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</si>
  <si>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</si>
  <si>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</si>
  <si>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</si>
  <si>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</si>
  <si>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</si>
  <si>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</si>
  <si>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</si>
  <si>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</si>
  <si>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</si>
  <si>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</si>
  <si>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</si>
  <si>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</si>
  <si>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</si>
  <si>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</si>
  <si>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</si>
  <si>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</si>
  <si>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</si>
  <si>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</si>
  <si>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</si>
  <si>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</si>
  <si>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</si>
  <si>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</si>
  <si>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</si>
  <si>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</si>
  <si>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</si>
  <si>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</si>
  <si>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</si>
  <si>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</si>
  <si>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</si>
  <si>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</si>
  <si>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</si>
  <si>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</si>
  <si>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</si>
  <si>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</si>
  <si>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</si>
  <si>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</si>
  <si>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</si>
  <si>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</si>
  <si>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</si>
  <si>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</si>
  <si>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</si>
  <si>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</si>
  <si>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</si>
  <si>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</si>
  <si>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</si>
  <si>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</si>
  <si>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</si>
  <si>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</si>
  <si>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</si>
  <si>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</si>
  <si>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</si>
  <si>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</si>
  <si>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</si>
  <si>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</si>
  <si>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</si>
  <si>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</si>
  <si>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</si>
  <si>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</si>
  <si>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</si>
  <si>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</si>
  <si>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</si>
  <si>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</si>
  <si>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</si>
  <si>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</si>
  <si>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</si>
  <si>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</si>
  <si>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</si>
  <si>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</si>
  <si>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</si>
  <si>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</si>
  <si>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</si>
  <si>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</si>
  <si>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</si>
  <si>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</si>
  <si>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</si>
  <si>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</si>
  <si>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</si>
  <si>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</si>
  <si>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</si>
  <si>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</si>
  <si>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</si>
  <si>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</si>
  <si>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</si>
  <si>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</si>
  <si>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</si>
  <si>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</si>
  <si>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</si>
  <si>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</si>
  <si>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</si>
  <si>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</si>
  <si>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</si>
  <si>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</si>
  <si>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</si>
  <si>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</si>
  <si>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</si>
  <si>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</si>
  <si>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</si>
  <si>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</si>
  <si>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</si>
  <si>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</si>
  <si>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</si>
  <si>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</si>
  <si>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</si>
  <si>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</si>
  <si>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</si>
  <si>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</si>
  <si>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</si>
  <si>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</si>
  <si>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</si>
  <si>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</si>
  <si>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</si>
  <si>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</si>
  <si>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</si>
  <si>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</si>
  <si>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</si>
  <si>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</si>
  <si>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</si>
  <si>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</si>
  <si>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</si>
  <si>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</si>
  <si>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</si>
  <si>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</si>
  <si>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</si>
  <si>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</si>
  <si>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</si>
  <si>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</si>
  <si>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</si>
  <si>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</si>
  <si>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</si>
  <si>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</si>
  <si>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</si>
  <si>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</si>
  <si>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</si>
  <si>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</si>
  <si>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</si>
  <si>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</si>
  <si>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</si>
  <si>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</si>
  <si>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</si>
  <si>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</si>
  <si>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</si>
  <si>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</si>
  <si>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</si>
  <si>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</si>
  <si>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</si>
  <si>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</si>
  <si>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</si>
  <si>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</si>
  <si>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</si>
  <si>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</si>
  <si>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</si>
  <si>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</si>
  <si>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</si>
  <si>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</si>
  <si>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</si>
  <si>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</si>
  <si>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</si>
  <si>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</si>
  <si>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</si>
  <si>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</si>
  <si>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</si>
  <si>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</si>
  <si>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</si>
  <si>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</si>
  <si>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</si>
  <si>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</si>
  <si>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</si>
  <si>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</si>
  <si>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</si>
  <si>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</si>
  <si>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</si>
  <si>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</si>
  <si>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</si>
  <si>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</si>
  <si>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</si>
  <si>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</si>
  <si>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</si>
  <si>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</si>
  <si>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</si>
  <si>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</si>
  <si>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</si>
  <si>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</si>
  <si>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</si>
  <si>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</si>
  <si>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</si>
  <si>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</si>
  <si>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</si>
  <si>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</si>
  <si>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</si>
  <si>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</si>
  <si>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</si>
  <si>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</si>
  <si>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</si>
  <si>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</si>
  <si>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</si>
  <si>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</si>
  <si>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</si>
  <si>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</si>
  <si>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</si>
  <si>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</si>
  <si>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</si>
  <si>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</si>
  <si>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</si>
  <si>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</si>
  <si>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</si>
  <si>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</si>
  <si>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</si>
  <si>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</si>
  <si>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</si>
  <si>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</si>
  <si>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</si>
  <si>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</si>
  <si>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</si>
  <si>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</si>
  <si>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</si>
  <si>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</si>
  <si>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</si>
  <si>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</si>
  <si>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</si>
  <si>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</si>
  <si>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</si>
  <si>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</si>
  <si>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</si>
  <si>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</si>
  <si>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</si>
  <si>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</si>
  <si>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</si>
  <si>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</si>
  <si>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</si>
  <si>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</si>
  <si>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</si>
  <si>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</si>
  <si>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</si>
  <si>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</si>
  <si>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</si>
  <si>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</si>
  <si>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</si>
  <si>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</si>
  <si>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</si>
  <si>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</si>
  <si>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</si>
  <si>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</si>
  <si>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</si>
  <si>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</si>
  <si>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</si>
  <si>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</si>
  <si>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</si>
  <si>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</si>
  <si>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</si>
  <si>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</si>
  <si>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</si>
  <si>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</si>
  <si>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</si>
  <si>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</si>
  <si>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</si>
  <si>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</si>
  <si>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</si>
  <si>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</si>
  <si>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</si>
  <si>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</si>
  <si>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</si>
  <si>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</si>
  <si>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</si>
  <si>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</si>
  <si>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</si>
  <si>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</si>
  <si>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</si>
  <si>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</si>
  <si>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</si>
  <si>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</si>
  <si>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</si>
  <si>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</si>
  <si>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</si>
  <si>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</si>
  <si>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</si>
  <si>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</si>
  <si>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</si>
  <si>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</si>
  <si>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</si>
  <si>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</si>
  <si>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</si>
  <si>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</si>
  <si>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</si>
  <si>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</si>
  <si>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</si>
  <si>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</si>
  <si>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</si>
  <si>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</si>
  <si>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</si>
  <si>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</si>
  <si>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</si>
  <si>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</si>
  <si>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</si>
  <si>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</si>
  <si>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</si>
  <si>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</si>
  <si>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</si>
  <si>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</si>
  <si>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</si>
  <si>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</si>
  <si>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</si>
  <si>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</si>
  <si>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</si>
  <si>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</si>
  <si>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</si>
  <si>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</si>
  <si>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</si>
  <si>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</si>
  <si>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</si>
  <si>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</si>
  <si>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</si>
  <si>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</si>
  <si>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</si>
  <si>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</si>
  <si>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</si>
  <si>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</si>
  <si>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</si>
  <si>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</si>
  <si>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</si>
  <si>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</si>
  <si>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</si>
  <si>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</si>
  <si>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</si>
  <si>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</si>
  <si>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</si>
  <si>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</si>
  <si>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</si>
  <si>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</si>
  <si>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</si>
  <si>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</si>
  <si>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</si>
  <si>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</si>
  <si>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</si>
  <si>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</si>
  <si>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</si>
  <si>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</si>
  <si>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</si>
  <si>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</si>
  <si>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</si>
  <si>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</si>
  <si>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</si>
  <si>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</si>
  <si>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</si>
  <si>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</si>
  <si>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</si>
  <si>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</si>
  <si>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</si>
  <si>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</si>
  <si>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</si>
  <si>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</si>
  <si>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</si>
  <si>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</si>
  <si>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</si>
  <si>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</si>
  <si>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</si>
  <si>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</si>
  <si>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</si>
  <si>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</si>
  <si>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</si>
  <si>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</si>
  <si>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</si>
  <si>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</si>
  <si>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</si>
  <si>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</si>
  <si>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</si>
  <si>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</si>
  <si>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</si>
  <si>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</si>
  <si>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</si>
  <si>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</si>
  <si>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</si>
  <si>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</si>
  <si>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</si>
  <si>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</si>
  <si>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</si>
  <si>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</si>
  <si>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</si>
  <si>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</si>
  <si>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</si>
  <si>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</si>
  <si>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</si>
  <si>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</si>
  <si>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</si>
  <si>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</si>
  <si>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</si>
  <si>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</si>
  <si>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</si>
  <si>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</si>
  <si>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</si>
  <si>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</si>
  <si>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</si>
  <si>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</si>
  <si>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</si>
  <si>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</si>
  <si>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</si>
  <si>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</si>
  <si>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</si>
  <si>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</si>
  <si>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</si>
  <si>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</si>
  <si>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</si>
  <si>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</si>
  <si>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</si>
  <si>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</si>
  <si>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</si>
  <si>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</si>
  <si>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</si>
  <si>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</si>
  <si>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</si>
  <si>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</si>
  <si>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</si>
  <si>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</si>
  <si>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</si>
  <si>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</si>
  <si>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</si>
  <si>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</si>
  <si>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</si>
  <si>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</si>
  <si>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</si>
  <si>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</si>
  <si>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</si>
  <si>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</si>
  <si>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</si>
  <si>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</si>
  <si>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</si>
  <si>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</si>
  <si>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</si>
  <si>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</si>
  <si>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</si>
  <si>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</si>
  <si>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</si>
  <si>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</si>
  <si>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</si>
  <si>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</si>
  <si>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</si>
  <si>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</si>
  <si>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</si>
  <si>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</si>
  <si>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</si>
  <si>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</si>
  <si>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</si>
  <si>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</si>
  <si>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</si>
  <si>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</si>
  <si>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</si>
  <si>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</si>
  <si>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</si>
  <si>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</si>
  <si>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</si>
  <si>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</si>
  <si>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</si>
  <si>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</si>
  <si>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</si>
  <si>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</si>
  <si>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</si>
  <si>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</si>
  <si>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</si>
  <si>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</si>
  <si>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</si>
  <si>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</si>
  <si>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</si>
  <si>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</si>
  <si>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</si>
  <si>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</si>
  <si>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</si>
  <si>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</si>
  <si>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</si>
  <si>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</si>
  <si>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</si>
  <si>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</si>
  <si>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</si>
  <si>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</si>
  <si>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</si>
  <si>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</si>
  <si>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</si>
  <si>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</si>
  <si>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</si>
  <si>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</si>
  <si>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</si>
  <si>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</si>
  <si>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</si>
  <si>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</si>
  <si>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</si>
  <si>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</si>
  <si>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</si>
  <si>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</si>
  <si>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</si>
  <si>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</si>
  <si>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</si>
  <si>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</si>
  <si>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</si>
  <si>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</si>
  <si>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</si>
  <si>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</si>
  <si>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</si>
  <si>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</si>
  <si>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</si>
  <si>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</si>
  <si>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</si>
  <si>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</si>
  <si>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</si>
  <si>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</si>
  <si>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</si>
  <si>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</si>
  <si>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</si>
  <si>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</si>
  <si>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</si>
  <si>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</si>
  <si>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</si>
  <si>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</si>
  <si>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</si>
  <si>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</si>
  <si>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</si>
  <si>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</si>
  <si>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</si>
  <si>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</si>
  <si>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</si>
  <si>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</si>
  <si>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</si>
  <si>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</si>
  <si>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</si>
  <si>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</si>
  <si>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</si>
  <si>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</si>
  <si>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</si>
  <si>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</si>
  <si>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</si>
  <si>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</si>
  <si>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</si>
  <si>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</si>
  <si>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</si>
  <si>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</si>
  <si>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</si>
  <si>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</si>
  <si>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</si>
  <si>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</si>
  <si>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</si>
  <si>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</si>
  <si>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</si>
  <si>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</si>
  <si>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</si>
  <si>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</si>
  <si>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</si>
  <si>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</si>
  <si>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</si>
  <si>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</si>
  <si>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</si>
  <si>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</si>
  <si>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</si>
  <si>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</si>
  <si>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</si>
  <si>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</si>
  <si>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</si>
  <si>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</si>
  <si>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</si>
  <si>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</si>
  <si>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</si>
  <si>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</si>
  <si>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</si>
  <si>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</si>
  <si>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</si>
  <si>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</si>
  <si>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</si>
  <si>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</si>
  <si>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</si>
  <si>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</si>
  <si>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</si>
  <si>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</si>
  <si>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</si>
  <si>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</si>
  <si>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</si>
  <si>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</si>
  <si>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</si>
  <si>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</si>
  <si>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</si>
  <si>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</si>
  <si>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</si>
  <si>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</si>
  <si>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</si>
  <si>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</si>
  <si>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</si>
  <si>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</si>
  <si>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</si>
  <si>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</si>
  <si>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</si>
  <si>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</si>
  <si>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</si>
  <si>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</si>
  <si>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</si>
  <si>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</si>
  <si>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</si>
  <si>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</si>
  <si>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</si>
  <si>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</si>
  <si>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</si>
  <si>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</si>
  <si>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</si>
  <si>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</si>
  <si>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</si>
  <si>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</si>
  <si>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</si>
  <si>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</si>
  <si>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</si>
  <si>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</si>
  <si>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</si>
  <si>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</si>
  <si>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</si>
  <si>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</si>
  <si>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</si>
  <si>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</si>
  <si>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</si>
  <si>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</si>
  <si>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</si>
  <si>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</si>
  <si>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</si>
  <si>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</si>
  <si>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</si>
  <si>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</si>
  <si>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</si>
  <si>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</si>
  <si>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</si>
  <si>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</si>
  <si>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</si>
  <si>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</si>
  <si>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</si>
  <si>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</si>
  <si>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</si>
  <si>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</si>
  <si>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</si>
  <si>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</si>
  <si>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</si>
  <si>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</si>
  <si>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</si>
  <si>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</si>
  <si>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</si>
  <si>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</si>
  <si>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</si>
  <si>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</si>
  <si>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</si>
  <si>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</si>
  <si>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</si>
  <si>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</si>
  <si>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</si>
  <si>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</si>
  <si>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</si>
  <si>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</si>
  <si>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</si>
  <si>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</si>
  <si>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</si>
  <si>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</si>
  <si>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</si>
  <si>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</si>
  <si>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</si>
  <si>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</si>
  <si>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</si>
  <si>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</si>
  <si>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</si>
  <si>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</si>
  <si>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</si>
  <si>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</si>
  <si>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</si>
  <si>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</si>
  <si>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</si>
  <si>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</si>
  <si>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</si>
  <si>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</si>
  <si>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</si>
  <si>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</si>
  <si>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</si>
  <si>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</si>
  <si>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</si>
  <si>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</si>
  <si>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</si>
  <si>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</si>
  <si>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</si>
  <si>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</si>
  <si>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</si>
  <si>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</si>
  <si>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</si>
  <si>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</si>
  <si>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</si>
  <si>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</si>
  <si>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</si>
  <si>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</si>
  <si>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</si>
  <si>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</si>
  <si>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</si>
  <si>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</si>
  <si>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</si>
  <si>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</si>
  <si>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</si>
  <si>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</si>
  <si>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</si>
  <si>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</si>
  <si>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</si>
  <si>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</si>
  <si>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</si>
  <si>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</si>
  <si>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</si>
  <si>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</si>
  <si>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</si>
  <si>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</si>
  <si>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</si>
  <si>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</si>
  <si>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</si>
  <si>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</si>
  <si>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</si>
  <si>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</si>
  <si>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</si>
  <si>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</si>
  <si>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</si>
  <si>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</si>
  <si>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</si>
  <si>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</si>
  <si>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</si>
  <si>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</si>
  <si>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</si>
  <si>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</si>
  <si>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</si>
  <si>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</si>
  <si>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</si>
  <si>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</si>
  <si>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</si>
  <si>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</si>
  <si>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</si>
  <si>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</si>
  <si>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</si>
  <si>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</si>
  <si>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</si>
  <si>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</si>
  <si>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</si>
  <si>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</si>
  <si>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</si>
  <si>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</si>
  <si>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</si>
  <si>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</si>
  <si>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</si>
  <si>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</si>
  <si>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</si>
  <si>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</si>
  <si>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</si>
  <si>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</si>
  <si>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</si>
  <si>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</si>
  <si>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</si>
  <si>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</si>
  <si>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</si>
  <si>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</si>
  <si>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</si>
  <si>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</si>
  <si>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</si>
  <si>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</si>
  <si>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</si>
  <si>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</si>
  <si>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</si>
  <si>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</si>
  <si>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</si>
  <si>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</si>
  <si>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</si>
  <si>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</si>
  <si>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</si>
  <si>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</si>
  <si>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</si>
  <si>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</si>
  <si>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</si>
  <si>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</si>
  <si>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</si>
  <si>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</si>
  <si>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</si>
  <si>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</si>
  <si>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</si>
  <si>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</si>
  <si>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</si>
  <si>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</si>
  <si>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</si>
  <si>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</si>
  <si>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</si>
  <si>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</si>
  <si>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</si>
  <si>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</si>
  <si>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</si>
  <si>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</si>
  <si>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</si>
  <si>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</si>
  <si>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</si>
  <si>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</si>
  <si>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</si>
  <si>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</si>
  <si>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</si>
  <si>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</si>
  <si>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</si>
  <si>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</si>
  <si>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</si>
  <si>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</si>
  <si>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</si>
  <si>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</si>
  <si>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</si>
  <si>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</si>
  <si>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</si>
  <si>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</si>
  <si>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</si>
  <si>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</si>
  <si>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</si>
  <si>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</si>
  <si>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</si>
  <si>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</si>
  <si>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</si>
  <si>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</si>
  <si>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</si>
  <si>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</si>
  <si>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</si>
  <si>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</si>
  <si>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</si>
  <si>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</si>
  <si>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</si>
  <si>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</si>
  <si>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</si>
  <si>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</si>
  <si>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</si>
  <si>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</si>
  <si>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</si>
  <si>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</si>
  <si>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</si>
  <si>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</si>
  <si>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</si>
  <si>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</si>
  <si>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</si>
  <si>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</si>
  <si>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</si>
  <si>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</si>
  <si>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</si>
  <si>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</si>
  <si>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</si>
  <si>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</si>
  <si>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</si>
  <si>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</si>
  <si>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</si>
  <si>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</si>
  <si>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</si>
  <si>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</si>
  <si>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</si>
  <si>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</si>
  <si>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</si>
  <si>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</si>
  <si>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</si>
  <si>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</si>
  <si>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</si>
  <si>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</si>
  <si>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</si>
  <si>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</si>
  <si>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</si>
  <si>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</si>
  <si>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</si>
  <si>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</si>
  <si>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</si>
  <si>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</si>
  <si>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</si>
  <si>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</si>
  <si>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</si>
  <si>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</si>
  <si>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</si>
  <si>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</si>
  <si>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</si>
  <si>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</si>
  <si>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</si>
  <si>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</si>
  <si>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</si>
  <si>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</si>
  <si>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</si>
  <si>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</si>
  <si>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</si>
  <si>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</si>
  <si>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</si>
  <si>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</si>
  <si>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</si>
  <si>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</si>
  <si>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</si>
  <si>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</si>
  <si>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</si>
  <si>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</si>
  <si>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</si>
  <si>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</si>
  <si>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</si>
  <si>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</si>
  <si>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</si>
  <si>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</si>
  <si>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</si>
  <si>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</si>
  <si>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</si>
  <si>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</si>
  <si>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</si>
  <si>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</si>
  <si>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</si>
  <si>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</si>
  <si>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</si>
  <si>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</si>
  <si>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</si>
  <si>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</si>
  <si>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</si>
  <si>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</si>
  <si>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</si>
  <si>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</si>
  <si>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</si>
  <si>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</si>
  <si>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</si>
  <si>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</si>
  <si>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</si>
  <si>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</si>
  <si>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</si>
  <si>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</si>
  <si>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</si>
  <si>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</si>
  <si>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</si>
  <si>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</si>
  <si>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</si>
  <si>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</si>
  <si>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</si>
  <si>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</si>
  <si>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</si>
  <si>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</si>
  <si>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</si>
  <si>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</si>
  <si>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</si>
  <si>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</si>
  <si>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</si>
  <si>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</si>
  <si>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</si>
  <si>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</si>
  <si>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</si>
  <si>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</si>
  <si>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</si>
  <si>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</si>
  <si>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</si>
  <si>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</si>
  <si>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</si>
  <si>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</si>
  <si>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</si>
  <si>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</si>
  <si>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</si>
  <si>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</si>
  <si>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</si>
  <si>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</si>
  <si>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</si>
  <si>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</si>
  <si>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</si>
  <si>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</si>
  <si>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</si>
  <si>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</si>
  <si>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</si>
  <si>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</si>
  <si>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</si>
  <si>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</si>
  <si>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</si>
  <si>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</si>
  <si>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</si>
  <si>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</si>
  <si>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</si>
  <si>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</si>
  <si>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</si>
  <si>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</si>
  <si>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</si>
  <si>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</si>
  <si>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</si>
  <si>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</si>
  <si>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</si>
  <si>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</si>
  <si>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</si>
  <si>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</si>
  <si>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</si>
  <si>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</si>
  <si>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</si>
  <si>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</si>
  <si>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</si>
  <si>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</si>
  <si>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</si>
  <si>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</si>
  <si>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</si>
  <si>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</si>
  <si>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</si>
  <si>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</si>
  <si>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</si>
  <si>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</si>
  <si>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</si>
  <si>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</si>
  <si>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</si>
  <si>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</si>
  <si>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</si>
  <si>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</si>
  <si>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</si>
  <si>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</si>
  <si>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</si>
  <si>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</si>
  <si>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</si>
  <si>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</si>
  <si>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</si>
  <si>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</si>
  <si>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</si>
  <si>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</si>
  <si>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</si>
  <si>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</si>
  <si>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</si>
  <si>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</si>
  <si>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</si>
  <si>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</si>
  <si>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</si>
  <si>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</si>
  <si>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</si>
  <si>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</si>
  <si>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</si>
  <si>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</si>
  <si>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</si>
  <si>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</si>
  <si>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</si>
  <si>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</si>
  <si>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</si>
  <si>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</si>
  <si>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</si>
  <si>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</si>
  <si>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</si>
  <si>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</si>
  <si>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</si>
  <si>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</si>
  <si>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</si>
  <si>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</si>
  <si>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</si>
  <si>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</si>
  <si>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</si>
  <si>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</si>
  <si>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</si>
  <si>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</si>
  <si>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</si>
  <si>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</si>
  <si>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</si>
  <si>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</si>
  <si>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</si>
  <si>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</si>
  <si>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</si>
  <si>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</si>
  <si>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</si>
  <si>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</si>
  <si>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</si>
  <si>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</si>
  <si>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</si>
  <si>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</si>
  <si>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</si>
  <si>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</si>
  <si>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</si>
  <si>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</si>
  <si>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</si>
  <si>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</si>
  <si>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</si>
  <si>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</si>
  <si>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</si>
  <si>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</si>
  <si>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</si>
  <si>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</si>
  <si>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</si>
  <si>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</si>
  <si>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</si>
  <si>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</si>
  <si>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</si>
  <si>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</si>
  <si>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</si>
  <si>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</si>
  <si>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</si>
  <si>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</si>
  <si>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</si>
  <si>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</si>
  <si>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</si>
  <si>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</si>
  <si>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</si>
  <si>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</si>
  <si>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</si>
  <si>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</si>
  <si>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</si>
  <si>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</si>
  <si>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</si>
  <si>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</si>
  <si>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</si>
  <si>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</si>
  <si>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</si>
  <si>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</si>
  <si>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</si>
  <si>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</si>
  <si>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</si>
  <si>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</si>
  <si>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</si>
  <si>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</si>
  <si>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</si>
  <si>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</si>
  <si>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</si>
  <si>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</si>
  <si>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</si>
  <si>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</si>
  <si>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</si>
  <si>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</si>
  <si>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</si>
  <si>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</si>
  <si>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</si>
  <si>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</si>
  <si>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</si>
  <si>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</si>
  <si>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</si>
  <si>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</si>
  <si>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</si>
  <si>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</si>
  <si>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</si>
  <si>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</si>
  <si>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</si>
  <si>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</si>
  <si>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</si>
  <si>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</si>
  <si>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</si>
  <si>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</si>
  <si>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</si>
  <si>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</si>
  <si>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</si>
  <si>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</si>
  <si>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</si>
  <si>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</si>
  <si>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</si>
  <si>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</si>
  <si>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</si>
  <si>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</si>
  <si>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</si>
  <si>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</si>
  <si>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</si>
  <si>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</si>
  <si>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</si>
  <si>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</si>
  <si>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</si>
  <si>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</si>
  <si>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</si>
  <si>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</si>
  <si>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</si>
  <si>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</si>
  <si>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</si>
  <si>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</si>
  <si>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</si>
  <si>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</si>
  <si>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</si>
  <si>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</si>
  <si>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</si>
  <si>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</si>
  <si>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</si>
  <si>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</si>
  <si>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</si>
  <si>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</si>
  <si>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</si>
  <si>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</si>
  <si>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</si>
  <si>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</si>
  <si>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</si>
  <si>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</si>
  <si>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</si>
  <si>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</si>
  <si>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</si>
  <si>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</si>
  <si>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</si>
  <si>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</si>
  <si>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</si>
  <si>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</si>
  <si>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</si>
  <si>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</si>
  <si>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</si>
  <si>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</si>
  <si>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</si>
  <si>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</si>
  <si>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</si>
  <si>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</si>
  <si>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</si>
  <si>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</si>
  <si>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</si>
  <si>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</si>
  <si>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</si>
  <si>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</si>
  <si>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</si>
  <si>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</si>
  <si>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</si>
  <si>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</si>
  <si>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</si>
  <si>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</si>
  <si>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</si>
  <si>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</si>
  <si>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</si>
  <si>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</si>
  <si>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</si>
  <si>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</si>
  <si>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</si>
  <si>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</si>
  <si>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</si>
  <si>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</si>
  <si>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</si>
  <si>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</si>
  <si>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</si>
  <si>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</si>
  <si>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</si>
  <si>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</si>
  <si>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</si>
  <si>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</si>
  <si>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</si>
  <si>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</si>
  <si>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</si>
  <si>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</si>
  <si>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</si>
  <si>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</si>
  <si>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</si>
  <si>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</si>
  <si>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</si>
  <si>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</si>
  <si>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</si>
  <si>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</si>
  <si>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</si>
  <si>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</si>
  <si>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</si>
  <si>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</si>
  <si>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</si>
  <si>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</si>
  <si>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</si>
  <si>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</si>
  <si>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</si>
  <si>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</si>
  <si>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</si>
  <si>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</si>
  <si>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</si>
  <si>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</si>
  <si>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</si>
  <si>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</si>
  <si>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</si>
  <si>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</si>
  <si>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</si>
  <si>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</si>
  <si>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</si>
  <si>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</si>
  <si>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</si>
  <si>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</si>
  <si>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</si>
  <si>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</si>
  <si>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</si>
  <si>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</si>
  <si>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</si>
  <si>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</si>
  <si>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</si>
  <si>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</si>
  <si>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</si>
  <si>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</si>
  <si>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</si>
  <si>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</si>
  <si>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</si>
  <si>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</si>
  <si>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</si>
  <si>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</si>
  <si>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</si>
  <si>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</si>
  <si>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</si>
  <si>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</si>
  <si>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</si>
  <si>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</si>
  <si>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</si>
  <si>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</si>
  <si>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</si>
  <si>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</si>
  <si>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</si>
  <si>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</si>
  <si>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</si>
  <si>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</si>
  <si>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</si>
  <si>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</si>
  <si>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</si>
  <si>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</si>
  <si>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</si>
  <si>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</si>
  <si>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</si>
  <si>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</si>
  <si>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</si>
  <si>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</si>
  <si>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</si>
  <si>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</si>
  <si>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</si>
  <si>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</si>
  <si>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</si>
  <si>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</si>
  <si>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</si>
  <si>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</si>
  <si>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</si>
  <si>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</si>
  <si>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</si>
  <si>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</si>
  <si>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</si>
  <si>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</si>
  <si>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</si>
  <si>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</si>
  <si>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</si>
  <si>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</si>
  <si>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</si>
  <si>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</si>
  <si>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</si>
  <si>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</si>
  <si>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</si>
  <si>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</si>
  <si>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</si>
  <si>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</si>
  <si>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</si>
  <si>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</si>
  <si>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</si>
  <si>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</si>
  <si>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</si>
  <si>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</si>
  <si>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</si>
  <si>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</si>
  <si>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</si>
  <si>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</si>
  <si>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</si>
  <si>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</si>
  <si>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</si>
  <si>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</si>
  <si>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</si>
  <si>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</si>
  <si>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</si>
  <si>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</si>
  <si>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</si>
  <si>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</si>
  <si>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</si>
  <si>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</si>
  <si>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</si>
  <si>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</si>
  <si>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</si>
  <si>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</si>
  <si>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</si>
  <si>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</si>
  <si>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</si>
  <si>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</si>
  <si>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</si>
  <si>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</si>
  <si>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</si>
  <si>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</si>
  <si>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</si>
  <si>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</si>
  <si>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</si>
  <si>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</si>
  <si>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</si>
  <si>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</si>
  <si>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</si>
  <si>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</si>
  <si>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</si>
  <si>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</si>
  <si>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</si>
  <si>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</si>
  <si>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</si>
  <si>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</si>
  <si>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</si>
  <si>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</si>
  <si>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</si>
  <si>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</si>
  <si>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</si>
  <si>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</si>
  <si>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</si>
  <si>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</si>
  <si>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</si>
  <si>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</si>
  <si>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</si>
  <si>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</si>
  <si>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</si>
  <si>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</si>
  <si>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</si>
  <si>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</si>
  <si>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</si>
  <si>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</si>
  <si>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</si>
  <si>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</si>
  <si>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</si>
  <si>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</si>
  <si>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</si>
  <si>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</si>
  <si>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</si>
  <si>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</si>
  <si>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</si>
  <si>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</si>
  <si>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</si>
  <si>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</si>
  <si>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</si>
  <si>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</si>
  <si>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</si>
  <si>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</si>
  <si>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</si>
  <si>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</si>
  <si>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</si>
  <si>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</si>
  <si>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</si>
  <si>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</si>
  <si>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</si>
  <si>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</si>
  <si>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</si>
  <si>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</si>
  <si>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</si>
  <si>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</si>
  <si>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</si>
  <si>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</si>
  <si>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</si>
  <si>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</si>
  <si>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</si>
  <si>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</si>
  <si>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</si>
  <si>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</si>
  <si>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</si>
  <si>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</si>
  <si>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</si>
  <si>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</si>
  <si>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</si>
  <si>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</si>
  <si>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</si>
  <si>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</si>
  <si>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</si>
  <si>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</si>
  <si>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</si>
  <si>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</si>
  <si>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</si>
  <si>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</si>
  <si>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</si>
  <si>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</si>
  <si>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</si>
  <si>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</si>
  <si>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</si>
  <si>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</si>
  <si>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</si>
  <si>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</si>
  <si>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</si>
  <si>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</si>
  <si>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</si>
  <si>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</si>
  <si>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</si>
  <si>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</si>
  <si>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</si>
  <si>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</si>
  <si>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</si>
  <si>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</si>
  <si>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</si>
  <si>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</si>
  <si>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</si>
  <si>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</si>
  <si>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</si>
  <si>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</si>
  <si>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</si>
  <si>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</si>
  <si>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</si>
  <si>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</si>
  <si>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</si>
  <si>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</si>
  <si>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</si>
  <si>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</si>
  <si>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</si>
  <si>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</si>
  <si>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</si>
  <si>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</si>
  <si>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</si>
  <si>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</si>
  <si>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</si>
  <si>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</si>
  <si>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</si>
  <si>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</si>
  <si>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</si>
  <si>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</si>
  <si>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</si>
  <si>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</si>
  <si>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</si>
  <si>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</si>
  <si>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</si>
  <si>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</si>
  <si>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</si>
  <si>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</si>
  <si>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</si>
  <si>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</si>
  <si>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</si>
  <si>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</si>
  <si>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</si>
  <si>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</si>
  <si>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</si>
  <si>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</si>
  <si>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</si>
  <si>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</si>
  <si>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</si>
  <si>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</si>
  <si>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</si>
  <si>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</si>
  <si>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</si>
  <si>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</si>
  <si>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</si>
  <si>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</si>
  <si>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</si>
  <si>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</si>
  <si>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</si>
  <si>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</si>
  <si>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</si>
  <si>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</si>
  <si>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</si>
  <si>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</si>
  <si>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</si>
  <si>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</si>
  <si>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</si>
  <si>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</si>
  <si>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</si>
  <si>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</si>
  <si>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</si>
  <si>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</si>
  <si>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</si>
  <si>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</si>
  <si>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</si>
  <si>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</si>
  <si>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</si>
  <si>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</si>
  <si>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</si>
  <si>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</si>
  <si>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</si>
  <si>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</si>
  <si>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</si>
  <si>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</si>
  <si>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</si>
  <si>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</si>
  <si>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</si>
  <si>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</si>
  <si>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</si>
  <si>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</si>
  <si>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</si>
  <si>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</si>
  <si>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</si>
  <si>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</si>
  <si>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</si>
  <si>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</si>
  <si>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</si>
  <si>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</si>
  <si>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</si>
  <si>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</si>
  <si>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</si>
  <si>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</si>
  <si>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</si>
  <si>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</si>
  <si>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</si>
  <si>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</si>
  <si>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</si>
  <si>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</si>
  <si>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</si>
  <si>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</si>
  <si>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</si>
  <si>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</si>
  <si>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</si>
  <si>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</si>
  <si>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</si>
  <si>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</si>
  <si>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</si>
  <si>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</si>
  <si>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</si>
  <si>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</si>
  <si>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</si>
  <si>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</si>
  <si>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</si>
  <si>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</si>
  <si>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</si>
  <si>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</si>
  <si>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</si>
  <si>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</si>
  <si>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</si>
  <si>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</si>
  <si>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</si>
  <si>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</si>
  <si>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</si>
  <si>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</si>
  <si>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</si>
  <si>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</si>
  <si>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</si>
  <si>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</si>
  <si>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</si>
  <si>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</si>
  <si>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</si>
  <si>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</si>
  <si>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</si>
  <si>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</si>
  <si>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</si>
  <si>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</si>
  <si>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</si>
  <si>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</si>
  <si>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</si>
  <si>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</si>
  <si>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</si>
  <si>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</si>
  <si>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</si>
  <si>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</si>
  <si>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</si>
  <si>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</si>
  <si>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</si>
  <si>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</si>
  <si>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</si>
  <si>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</si>
  <si>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</si>
  <si>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</si>
  <si>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</si>
  <si>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</si>
  <si>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</si>
  <si>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</si>
  <si>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</si>
  <si>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</si>
  <si>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</si>
  <si>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</si>
  <si>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</si>
  <si>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</si>
  <si>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</si>
  <si>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</si>
  <si>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</si>
  <si>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</si>
  <si>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</si>
  <si>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</si>
  <si>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</si>
  <si>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</si>
  <si>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</si>
  <si>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</si>
  <si>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</si>
  <si>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</si>
  <si>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</si>
  <si>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</si>
  <si>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</si>
  <si>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</si>
  <si>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</si>
  <si>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</si>
  <si>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</si>
  <si>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</si>
  <si>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</si>
  <si>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</si>
  <si>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</si>
  <si>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</si>
  <si>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</si>
  <si>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</si>
  <si>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</si>
  <si>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</si>
  <si>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</si>
  <si>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</si>
  <si>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</si>
  <si>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</si>
  <si>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</si>
  <si>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</si>
  <si>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</si>
  <si>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</si>
  <si>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</si>
  <si>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</si>
  <si>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</si>
  <si>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</si>
  <si>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</si>
  <si>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</si>
  <si>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</si>
  <si>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</si>
  <si>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</si>
  <si>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</si>
  <si>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</si>
  <si>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</si>
  <si>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</si>
  <si>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</si>
  <si>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</si>
  <si>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</si>
  <si>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</si>
  <si>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</si>
  <si>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</si>
  <si>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</si>
  <si>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</si>
  <si>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</si>
  <si>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</si>
  <si>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</si>
  <si>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</si>
  <si>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</si>
  <si>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</si>
  <si>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</si>
  <si>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</si>
  <si>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</si>
  <si>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</si>
  <si>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</si>
  <si>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</si>
  <si>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</si>
  <si>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</si>
  <si>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</si>
  <si>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</si>
  <si>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</si>
  <si>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</si>
  <si>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</si>
  <si>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</si>
  <si>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</si>
  <si>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</si>
  <si>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</si>
  <si>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</si>
  <si>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</si>
  <si>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</si>
  <si>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</si>
  <si>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</si>
  <si>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</si>
  <si>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</si>
  <si>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</si>
  <si>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</si>
  <si>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</si>
  <si>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</si>
  <si>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</si>
  <si>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</si>
  <si>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</si>
  <si>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</si>
  <si>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</si>
  <si>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</si>
  <si>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</si>
  <si>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</si>
  <si>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</si>
  <si>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</si>
  <si>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</si>
  <si>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</si>
  <si>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</si>
  <si>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</si>
  <si>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</si>
  <si>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</si>
  <si>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</si>
  <si>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</si>
  <si>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</si>
  <si>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</si>
  <si>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</si>
  <si>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</si>
  <si>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</si>
  <si>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</si>
  <si>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</si>
  <si>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</si>
  <si>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</si>
  <si>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</si>
  <si>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</si>
  <si>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</si>
  <si>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</si>
  <si>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</si>
  <si>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</si>
  <si>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</si>
  <si>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</si>
  <si>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</si>
  <si>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</si>
  <si>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</si>
  <si>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</si>
  <si>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</si>
  <si>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</si>
  <si>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</si>
  <si>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</si>
  <si>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</si>
  <si>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</si>
  <si>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</si>
  <si>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</si>
  <si>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</si>
  <si>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</si>
  <si>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</si>
  <si>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</si>
  <si>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</si>
  <si>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</si>
  <si>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</si>
  <si>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</si>
  <si>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</si>
  <si>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</si>
  <si>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</si>
  <si>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</si>
  <si>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</si>
  <si>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</si>
  <si>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</si>
  <si>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</si>
  <si>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</si>
  <si>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</si>
  <si>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</si>
  <si>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</si>
  <si>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</si>
  <si>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</si>
  <si>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</si>
  <si>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</si>
  <si>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</si>
  <si>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</si>
  <si>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</si>
  <si>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</si>
  <si>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</si>
  <si>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</si>
  <si>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</si>
  <si>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</si>
  <si>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</si>
  <si>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</si>
  <si>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</si>
  <si>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</si>
  <si>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</si>
  <si>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</si>
  <si>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</si>
  <si>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</si>
  <si>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</si>
  <si>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</si>
  <si>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</si>
  <si>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</si>
  <si>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</si>
  <si>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</si>
  <si>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</si>
  <si>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</si>
  <si>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</si>
  <si>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</si>
  <si>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</si>
  <si>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</si>
  <si>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</si>
  <si>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</si>
  <si>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</si>
  <si>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</si>
  <si>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</si>
  <si>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</si>
  <si>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</si>
  <si>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</si>
  <si>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</si>
  <si>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</si>
  <si>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</si>
  <si>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</si>
  <si>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</si>
  <si>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</si>
  <si>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</si>
  <si>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</si>
  <si>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</si>
  <si>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</si>
  <si>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</si>
  <si>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</si>
  <si>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</si>
  <si>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</si>
  <si>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</si>
  <si>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</si>
  <si>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</si>
  <si>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</si>
  <si>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</si>
  <si>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</si>
  <si>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</si>
  <si>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</si>
  <si>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</si>
  <si>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</si>
  <si>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</si>
  <si>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</si>
  <si>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</si>
  <si>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</si>
  <si>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</si>
  <si>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</si>
  <si>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</si>
  <si>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</si>
  <si>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</si>
  <si>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</si>
  <si>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</si>
  <si>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</si>
  <si>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</si>
  <si>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</si>
  <si>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</si>
  <si>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</si>
  <si>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</si>
  <si>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</si>
  <si>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</si>
  <si>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</si>
  <si>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</si>
  <si>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</si>
  <si>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</si>
  <si>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</si>
  <si>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</si>
  <si>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</si>
  <si>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</si>
  <si>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</si>
  <si>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</si>
  <si>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</si>
  <si>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</si>
  <si>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</si>
  <si>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</si>
  <si>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</si>
  <si>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</si>
  <si>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</si>
  <si>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</si>
  <si>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</si>
  <si>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</si>
  <si>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</si>
  <si>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</si>
  <si>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</si>
  <si>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</si>
  <si>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</si>
  <si>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</si>
  <si>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</si>
  <si>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</si>
  <si>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</si>
  <si>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</si>
  <si>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</si>
  <si>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</si>
  <si>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</si>
  <si>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</si>
  <si>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</si>
  <si>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</si>
  <si>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</si>
  <si>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</si>
  <si>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</si>
  <si>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</si>
  <si>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</si>
  <si>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</si>
  <si>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</si>
  <si>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</si>
  <si>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</si>
  <si>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</si>
  <si>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</si>
  <si>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</si>
  <si>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</si>
  <si>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</si>
  <si>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</si>
  <si>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</si>
  <si>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</si>
  <si>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</si>
  <si>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</si>
  <si>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</si>
  <si>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</si>
  <si>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</si>
  <si>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</si>
  <si>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</si>
  <si>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</si>
  <si>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</si>
  <si>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</si>
  <si>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</si>
  <si>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</si>
  <si>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</si>
  <si>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</si>
  <si>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</si>
  <si>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</si>
  <si>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</si>
  <si>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</si>
  <si>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</si>
  <si>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</si>
  <si>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</si>
  <si>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</si>
  <si>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</si>
  <si>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</si>
  <si>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</si>
  <si>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</si>
  <si>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</si>
  <si>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</si>
  <si>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</si>
  <si>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</si>
  <si>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</si>
  <si>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</si>
  <si>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</si>
  <si>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</si>
  <si>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</si>
  <si>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</si>
  <si>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</si>
  <si>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</si>
  <si>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</si>
  <si>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</si>
  <si>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</si>
  <si>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</si>
  <si>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</si>
  <si>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</si>
  <si>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</si>
  <si>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</si>
  <si>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</si>
  <si>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</si>
  <si>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</si>
  <si>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</si>
  <si>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</si>
  <si>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</si>
  <si>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</si>
  <si>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</si>
  <si>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</si>
  <si>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</si>
  <si>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</si>
  <si>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</si>
  <si>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</si>
  <si>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</si>
  <si>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</si>
  <si>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</si>
  <si>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</si>
  <si>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</si>
  <si>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</si>
  <si>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</si>
  <si>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</si>
  <si>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</si>
  <si>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</si>
  <si>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</si>
  <si>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</si>
  <si>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</si>
  <si>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</si>
  <si>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</si>
  <si>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</si>
  <si>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</si>
  <si>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</si>
  <si>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</si>
  <si>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</si>
  <si>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</si>
  <si>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</si>
  <si>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</si>
  <si>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</si>
  <si>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</si>
  <si>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</si>
  <si>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</si>
  <si>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</si>
  <si>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</si>
  <si>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</si>
  <si>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</si>
  <si>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</si>
  <si>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</si>
  <si>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</si>
  <si>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</si>
  <si>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</si>
  <si>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</si>
  <si>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</si>
  <si>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</si>
  <si>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</si>
  <si>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</si>
  <si>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</si>
  <si>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</si>
  <si>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</si>
  <si>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</si>
  <si>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</si>
  <si>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</si>
  <si>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</si>
  <si>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</si>
  <si>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</si>
  <si>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</si>
  <si>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</si>
  <si>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</si>
  <si>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</si>
  <si>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</si>
  <si>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</si>
  <si>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</si>
  <si>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</si>
  <si>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</si>
  <si>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</si>
  <si>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</si>
  <si>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</si>
  <si>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</si>
  <si>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</si>
  <si>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</si>
  <si>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</si>
  <si>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</si>
  <si>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</si>
  <si>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</si>
  <si>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</si>
  <si>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</si>
  <si>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</si>
  <si>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</si>
  <si>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</si>
  <si>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</si>
  <si>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</si>
  <si>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</si>
  <si>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</si>
  <si>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</si>
  <si>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</si>
  <si>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</si>
  <si>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</si>
  <si>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</si>
  <si>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</si>
  <si>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</si>
  <si>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</si>
  <si>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</si>
  <si>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</si>
  <si>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</si>
  <si>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</si>
  <si>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</si>
  <si>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</si>
  <si>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</si>
  <si>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</si>
  <si>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</si>
  <si>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</si>
  <si>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</si>
  <si>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</si>
  <si>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</si>
  <si>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</si>
  <si>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</si>
  <si>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</si>
  <si>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</si>
  <si>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</si>
  <si>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</si>
  <si>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</si>
  <si>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</si>
  <si>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</si>
  <si>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</si>
  <si>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</si>
  <si>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</si>
  <si>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</si>
  <si>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</si>
  <si>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</si>
  <si>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</si>
  <si>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</si>
  <si>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</si>
  <si>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</si>
  <si>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</si>
  <si>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</si>
  <si>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</si>
  <si>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</si>
  <si>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</si>
  <si>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</si>
  <si>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</si>
  <si>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</si>
  <si>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</si>
  <si>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</si>
  <si>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</si>
  <si>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</si>
  <si>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</si>
  <si>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</si>
  <si>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</si>
  <si>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</si>
  <si>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</si>
  <si>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</si>
  <si>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</si>
  <si>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</si>
  <si>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</si>
  <si>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</si>
  <si>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</si>
  <si>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</si>
  <si>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</si>
  <si>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</si>
  <si>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</si>
  <si>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</si>
  <si>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</si>
  <si>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</si>
  <si>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</si>
  <si>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</si>
  <si>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</si>
  <si>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</si>
  <si>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</si>
  <si>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</si>
  <si>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</si>
  <si>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</si>
  <si>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</si>
  <si>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</si>
  <si>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</si>
  <si>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</si>
  <si>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</si>
  <si>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</si>
  <si>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</si>
  <si>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</si>
  <si>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</si>
  <si>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</si>
  <si>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</si>
  <si>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</si>
  <si>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</si>
  <si>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</si>
  <si>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</si>
  <si>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</si>
  <si>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</si>
  <si>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</si>
  <si>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</si>
  <si>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</si>
  <si>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</si>
  <si>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</si>
  <si>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</si>
  <si>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</si>
  <si>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</si>
  <si>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</si>
  <si>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</si>
  <si>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</si>
  <si>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</si>
  <si>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</si>
  <si>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</si>
  <si>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</si>
  <si>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</si>
  <si>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</si>
  <si>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</si>
  <si>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</si>
  <si>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</si>
  <si>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</si>
  <si>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</si>
  <si>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</si>
  <si>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</si>
  <si>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</si>
  <si>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</si>
  <si>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</si>
  <si>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</si>
  <si>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</si>
  <si>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</si>
  <si>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</si>
  <si>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</si>
  <si>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</si>
  <si>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</si>
  <si>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</si>
  <si>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</si>
  <si>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</si>
  <si>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</si>
  <si>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</si>
  <si>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</si>
  <si>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</si>
  <si>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</si>
  <si>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</si>
  <si>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</si>
  <si>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</si>
  <si>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</si>
  <si>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</si>
  <si>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</si>
  <si>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</si>
  <si>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</si>
  <si>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</si>
  <si>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</si>
  <si>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</si>
  <si>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</si>
  <si>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</si>
  <si>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</si>
  <si>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</si>
  <si>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</si>
  <si>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</si>
  <si>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</si>
  <si>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</si>
  <si>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</si>
  <si>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</si>
  <si>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</si>
  <si>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</si>
  <si>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</si>
  <si>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</si>
  <si>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</si>
  <si>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</si>
  <si>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</si>
  <si>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</si>
  <si>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</si>
  <si>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</si>
  <si>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</si>
  <si>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</si>
  <si>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</si>
  <si>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</si>
  <si>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</si>
  <si>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</si>
  <si>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</si>
  <si>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</si>
  <si>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</si>
  <si>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</si>
  <si>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</si>
  <si>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</si>
  <si>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</si>
  <si>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</si>
  <si>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</si>
  <si>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</si>
  <si>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</si>
  <si>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</si>
  <si>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</si>
  <si>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</si>
  <si>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</si>
  <si>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</si>
  <si>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</si>
  <si>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</si>
  <si>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</si>
  <si>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</si>
  <si>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</si>
  <si>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</si>
  <si>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</si>
  <si>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</si>
  <si>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</si>
  <si>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</si>
  <si>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</si>
  <si>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</si>
  <si>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</si>
  <si>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</si>
  <si>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</si>
  <si>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</si>
  <si>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</si>
  <si>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</si>
  <si>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</si>
  <si>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</si>
  <si>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</si>
  <si>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</si>
  <si>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</si>
  <si>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</si>
  <si>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</si>
  <si>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</si>
  <si>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</si>
  <si>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</si>
  <si>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</si>
  <si>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</si>
  <si>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</si>
  <si>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</si>
  <si>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</si>
  <si>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</si>
  <si>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</si>
  <si>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</si>
  <si>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</si>
  <si>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</si>
  <si>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</si>
  <si>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</si>
  <si>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</si>
  <si>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</si>
  <si>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</si>
  <si>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</si>
  <si>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</si>
  <si>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</si>
  <si>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</si>
  <si>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</si>
  <si>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</si>
  <si>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</si>
  <si>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</si>
  <si>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</si>
  <si>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</si>
  <si>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</si>
  <si>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</si>
  <si>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</si>
  <si>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</si>
  <si>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</si>
  <si>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</si>
  <si>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</si>
  <si>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</si>
  <si>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</si>
  <si>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</si>
  <si>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</si>
  <si>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</si>
  <si>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</si>
  <si>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</si>
  <si>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</si>
  <si>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</si>
  <si>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</si>
  <si>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</si>
  <si>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</si>
  <si>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</si>
  <si>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</si>
  <si>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</si>
  <si>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</si>
  <si>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</si>
  <si>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</si>
  <si>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</si>
  <si>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</si>
  <si>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</si>
  <si>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</si>
  <si>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</si>
  <si>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</si>
  <si>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</si>
  <si>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</si>
  <si>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</si>
  <si>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</si>
  <si>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</si>
  <si>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</si>
  <si>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</si>
  <si>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</si>
  <si>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</si>
  <si>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</si>
  <si>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</si>
  <si>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</si>
  <si>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</si>
  <si>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</si>
  <si>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</si>
  <si>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</si>
  <si>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</si>
  <si>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</si>
  <si>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</si>
  <si>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</si>
  <si>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</si>
  <si>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</si>
  <si>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</si>
  <si>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</si>
  <si>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</si>
  <si>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</si>
  <si>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</si>
  <si>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</si>
  <si>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</si>
  <si>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</si>
  <si>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</si>
  <si>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</si>
  <si>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</si>
  <si>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</si>
  <si>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</si>
  <si>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</si>
  <si>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</si>
  <si>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</si>
  <si>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</si>
  <si>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</si>
  <si>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</si>
  <si>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</si>
  <si>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</si>
  <si>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</si>
  <si>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</si>
  <si>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</si>
  <si>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</si>
  <si>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</si>
  <si>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</si>
  <si>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</si>
  <si>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</si>
  <si>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</si>
  <si>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</si>
  <si>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</si>
  <si>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</si>
  <si>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</si>
  <si>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</si>
  <si>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</si>
  <si>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</si>
  <si>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</si>
  <si>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</si>
  <si>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</si>
  <si>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</si>
  <si>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</si>
  <si>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</si>
  <si>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</si>
  <si>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</si>
  <si>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</si>
  <si>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</si>
  <si>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</si>
  <si>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</si>
  <si>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</si>
  <si>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</si>
  <si>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</si>
  <si>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</si>
  <si>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</si>
  <si>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</si>
  <si>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</si>
  <si>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</si>
  <si>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</si>
  <si>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</si>
  <si>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</si>
  <si>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</si>
  <si>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</si>
  <si>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</si>
  <si>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</si>
  <si>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</si>
  <si>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</si>
  <si>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</si>
  <si>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</si>
  <si>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</si>
  <si>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</si>
  <si>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</si>
  <si>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</si>
  <si>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</si>
  <si>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</si>
  <si>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</si>
  <si>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</si>
  <si>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</si>
  <si>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</si>
  <si>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</si>
  <si>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</si>
  <si>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</si>
  <si>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</si>
  <si>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</si>
  <si>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</si>
  <si>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</si>
  <si>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</si>
  <si>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</si>
  <si>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</si>
  <si>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</si>
  <si>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</si>
  <si>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</si>
  <si>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</si>
  <si>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</si>
  <si>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</si>
  <si>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</si>
  <si>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</si>
  <si>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</si>
  <si>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</si>
  <si>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</si>
  <si>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</si>
  <si>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</si>
  <si>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</si>
  <si>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</si>
  <si>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</si>
  <si>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</si>
  <si>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</si>
  <si>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</si>
  <si>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</si>
  <si>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</si>
  <si>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</si>
  <si>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</si>
  <si>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</si>
  <si>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</si>
  <si>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</si>
  <si>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</si>
  <si>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</si>
  <si>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</si>
  <si>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</si>
  <si>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</si>
  <si>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</si>
  <si>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</si>
  <si>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</si>
  <si>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</si>
  <si>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</si>
  <si>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</si>
  <si>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</si>
  <si>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</si>
  <si>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</si>
  <si>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</si>
  <si>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</si>
  <si>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</si>
  <si>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</si>
  <si>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</si>
  <si>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</si>
  <si>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</si>
  <si>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</si>
  <si>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</si>
  <si>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</si>
  <si>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</si>
  <si>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</si>
  <si>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</si>
  <si>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</si>
  <si>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</si>
  <si>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</si>
  <si>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</si>
  <si>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</si>
  <si>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</si>
  <si>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</si>
  <si>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</si>
  <si>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</si>
  <si>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</si>
  <si>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</si>
  <si>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</si>
  <si>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</si>
  <si>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</si>
  <si>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</si>
  <si>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</si>
  <si>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</si>
  <si>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</si>
  <si>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</si>
  <si>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</si>
  <si>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</si>
  <si>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</si>
  <si>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</si>
  <si>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</si>
  <si>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</si>
  <si>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</si>
  <si>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</si>
  <si>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</si>
  <si>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</si>
  <si>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</si>
  <si>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</si>
  <si>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</si>
  <si>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</si>
  <si>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</si>
  <si>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</si>
  <si>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</si>
  <si>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</si>
  <si>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</si>
  <si>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</si>
  <si>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</si>
  <si>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</si>
  <si>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</si>
  <si>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</si>
  <si>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</si>
  <si>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</si>
  <si>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</si>
  <si>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</si>
  <si>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</si>
  <si>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</si>
  <si>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</si>
  <si>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</si>
  <si>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</si>
  <si>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</si>
  <si>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</si>
  <si>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</si>
  <si>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</si>
  <si>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</si>
  <si>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</si>
  <si>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</si>
  <si>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</si>
  <si>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</si>
  <si>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</si>
  <si>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</si>
  <si>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</si>
  <si>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</si>
  <si>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</si>
  <si>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</si>
  <si>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</si>
  <si>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</si>
  <si>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</si>
  <si>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</si>
  <si>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</si>
  <si>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</si>
  <si>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</si>
  <si>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</si>
  <si>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</si>
  <si>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</si>
  <si>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</si>
  <si>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</si>
  <si>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</si>
  <si>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</si>
  <si>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</si>
  <si>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</si>
  <si>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</si>
  <si>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</si>
  <si>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</si>
  <si>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</si>
  <si>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</si>
  <si>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</si>
  <si>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</si>
  <si>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</si>
  <si>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</si>
  <si>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</si>
  <si>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</si>
  <si>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</si>
  <si>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</si>
  <si>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</si>
  <si>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</si>
  <si>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</si>
  <si>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</si>
  <si>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</si>
  <si>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</si>
  <si>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</si>
  <si>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</si>
  <si>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</si>
  <si>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</si>
  <si>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</si>
  <si>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</si>
  <si>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</si>
  <si>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</si>
  <si>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</si>
  <si>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</si>
  <si>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</si>
  <si>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</si>
  <si>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</si>
  <si>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</si>
  <si>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</si>
  <si>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</si>
  <si>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</si>
  <si>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</si>
  <si>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</si>
  <si>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</si>
  <si>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</si>
  <si>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</si>
  <si>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</si>
  <si>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</si>
  <si>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</si>
  <si>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</si>
  <si>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</si>
  <si>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</si>
  <si>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</si>
  <si>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</si>
  <si>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</si>
  <si>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</si>
  <si>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</si>
  <si>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</si>
  <si>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</si>
  <si>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</si>
  <si>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</si>
  <si>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</si>
  <si>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</si>
  <si>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</si>
  <si>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</si>
  <si>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</si>
  <si>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</si>
  <si>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</si>
  <si>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</si>
  <si>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</si>
  <si>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</si>
  <si>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</si>
  <si>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</si>
  <si>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</si>
  <si>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</si>
  <si>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</si>
  <si>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</si>
  <si>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</si>
  <si>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</si>
  <si>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</si>
  <si>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</si>
  <si>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</si>
  <si>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</si>
  <si>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</si>
  <si>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</si>
  <si>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</si>
  <si>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</si>
  <si>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</si>
  <si>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</si>
  <si>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</si>
  <si>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</si>
  <si>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</si>
  <si>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</si>
  <si>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</si>
  <si>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</si>
  <si>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</si>
  <si>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</si>
  <si>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</si>
  <si>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</si>
  <si>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</si>
  <si>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</si>
  <si>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</si>
  <si>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</si>
  <si>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</si>
  <si>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</si>
  <si>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</si>
  <si>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</si>
  <si>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</si>
  <si>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</si>
  <si>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</si>
  <si>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</si>
  <si>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</si>
  <si>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</si>
  <si>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</si>
  <si>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</si>
  <si>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</si>
  <si>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</si>
  <si>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</si>
  <si>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</si>
  <si>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</si>
  <si>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</si>
  <si>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</si>
  <si>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</si>
  <si>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</si>
  <si>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</si>
  <si>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</si>
  <si>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</si>
  <si>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</si>
  <si>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</si>
  <si>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</si>
  <si>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</si>
  <si>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</si>
  <si>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</si>
  <si>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</si>
  <si>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</si>
  <si>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</si>
  <si>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</si>
  <si>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</si>
  <si>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</si>
  <si>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</si>
  <si>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</si>
  <si>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</si>
  <si>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</si>
  <si>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</si>
  <si>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</si>
  <si>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</si>
  <si>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</si>
  <si>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</si>
  <si>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</si>
  <si>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</si>
  <si>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</si>
  <si>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</si>
  <si>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</si>
  <si>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</si>
  <si>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</si>
  <si>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</si>
  <si>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</si>
  <si>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</si>
  <si>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</si>
  <si>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</si>
  <si>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</si>
  <si>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</si>
  <si>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</si>
  <si>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</si>
  <si>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</si>
  <si>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</si>
  <si>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</si>
  <si>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</si>
  <si>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</si>
  <si>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</si>
  <si>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</si>
  <si>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</si>
  <si>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</si>
  <si>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</si>
  <si>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</si>
  <si>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</si>
  <si>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</si>
  <si>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</si>
  <si>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</si>
  <si>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</si>
  <si>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</si>
  <si>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</si>
  <si>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</si>
  <si>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</si>
  <si>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</si>
  <si>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</si>
  <si>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</si>
  <si>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</si>
  <si>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</si>
  <si>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</si>
  <si>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</si>
  <si>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</si>
  <si>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</si>
  <si>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</si>
  <si>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</si>
  <si>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</si>
  <si>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</si>
  <si>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</si>
  <si>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</si>
  <si>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</si>
  <si>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</si>
  <si>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</si>
  <si>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</si>
  <si>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</si>
  <si>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</si>
  <si>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</si>
  <si>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</si>
  <si>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</si>
  <si>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</si>
  <si>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</si>
  <si>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</si>
  <si>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</si>
  <si>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</si>
  <si>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</si>
  <si>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</si>
  <si>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</si>
  <si>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</si>
  <si>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</si>
  <si>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</si>
  <si>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</si>
  <si>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</si>
  <si>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</si>
  <si>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</si>
  <si>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</si>
  <si>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</si>
  <si>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</si>
  <si>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</si>
  <si>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</si>
  <si>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</si>
  <si>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</si>
  <si>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</si>
  <si>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</si>
  <si>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</si>
  <si>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</si>
  <si>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</si>
  <si>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</si>
  <si>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</si>
  <si>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</si>
  <si>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</si>
  <si>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</si>
  <si>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</si>
  <si>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</si>
  <si>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</si>
  <si>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</si>
  <si>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</si>
  <si>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</si>
  <si>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</si>
  <si>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</si>
  <si>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</si>
  <si>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</si>
  <si>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</si>
  <si>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</si>
  <si>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</si>
  <si>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</si>
  <si>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</si>
  <si>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</si>
  <si>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</si>
  <si>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</si>
  <si>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</si>
  <si>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</si>
  <si>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</si>
  <si>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</si>
  <si>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</si>
  <si>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</si>
  <si>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</si>
  <si>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</si>
  <si>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</si>
  <si>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</si>
  <si>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</si>
  <si>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</si>
  <si>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</si>
  <si>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</si>
  <si>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</si>
  <si>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</si>
  <si>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</si>
  <si>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</si>
  <si>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</si>
  <si>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</si>
  <si>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</si>
  <si>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</si>
  <si>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</si>
  <si>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</si>
  <si>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</si>
  <si>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</si>
  <si>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</si>
  <si>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</si>
  <si>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</si>
  <si>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</si>
  <si>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</si>
  <si>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</si>
  <si>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</si>
  <si>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</si>
  <si>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</si>
  <si>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</si>
  <si>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</si>
  <si>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</si>
  <si>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</si>
  <si>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</si>
  <si>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</si>
  <si>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</si>
  <si>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</si>
  <si>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</si>
  <si>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</si>
  <si>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</si>
  <si>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</si>
  <si>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</si>
  <si>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</si>
  <si>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</si>
  <si>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</si>
  <si>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</si>
  <si>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</si>
  <si>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</si>
  <si>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</si>
  <si>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</si>
  <si>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</si>
  <si>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</si>
  <si>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</si>
  <si>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</si>
  <si>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</si>
  <si>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</si>
  <si>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</si>
  <si>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</si>
  <si>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</si>
  <si>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</si>
  <si>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</si>
  <si>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</si>
  <si>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</si>
  <si>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</si>
  <si>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</si>
  <si>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</si>
  <si>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</si>
  <si>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</si>
  <si>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</si>
  <si>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</si>
  <si>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</si>
  <si>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</si>
  <si>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</si>
  <si>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</si>
  <si>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</si>
  <si>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</si>
  <si>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</si>
  <si>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</si>
  <si>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</si>
  <si>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</si>
  <si>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</si>
  <si>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</si>
  <si>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</si>
  <si>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</si>
  <si>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</si>
  <si>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</si>
  <si>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</si>
  <si>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</si>
  <si>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</si>
  <si>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</si>
  <si>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</si>
  <si>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</si>
  <si>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</si>
  <si>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</si>
  <si>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</si>
  <si>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</si>
  <si>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</si>
  <si>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</si>
  <si>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</si>
  <si>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</si>
  <si>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</si>
  <si>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</si>
  <si>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</si>
  <si>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</si>
  <si>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</si>
  <si>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</si>
  <si>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</si>
  <si>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</si>
  <si>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</si>
  <si>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</si>
  <si>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</si>
  <si>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</si>
  <si>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</si>
  <si>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</si>
  <si>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</si>
  <si>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</si>
  <si>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</si>
  <si>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</si>
  <si>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</si>
  <si>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</si>
  <si>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</si>
  <si>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</si>
  <si>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</si>
  <si>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</si>
  <si>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</si>
  <si>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</si>
  <si>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</si>
  <si>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</si>
  <si>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</si>
  <si>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</si>
  <si>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</si>
  <si>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</si>
  <si>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</si>
  <si>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</si>
  <si>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</si>
  <si>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</si>
  <si>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</si>
  <si>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</si>
  <si>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</si>
  <si>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</si>
  <si>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</si>
  <si>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</si>
  <si>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</si>
  <si>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</si>
  <si>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</si>
  <si>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</si>
  <si>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</si>
  <si>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</si>
  <si>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</si>
  <si>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</si>
  <si>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</si>
  <si>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</si>
  <si>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</si>
  <si>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</si>
  <si>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</si>
  <si>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</si>
  <si>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</si>
  <si>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</si>
  <si>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</si>
  <si>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</si>
  <si>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</si>
  <si>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</si>
  <si>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</si>
  <si>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</si>
  <si>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</si>
  <si>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</si>
  <si>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</si>
  <si>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</si>
  <si>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</si>
  <si>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</si>
  <si>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</si>
  <si>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</si>
  <si>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</si>
  <si>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</si>
  <si>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</si>
  <si>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</si>
  <si>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</si>
  <si>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</si>
  <si>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</si>
  <si>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</si>
  <si>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</si>
  <si>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</si>
  <si>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</si>
  <si>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</si>
  <si>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</si>
  <si>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</si>
  <si>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</si>
  <si>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</si>
  <si>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</si>
  <si>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</si>
  <si>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</si>
  <si>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</si>
  <si>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</si>
  <si>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</si>
  <si>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</si>
  <si>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</si>
  <si>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</si>
  <si>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</si>
  <si>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</si>
  <si>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</si>
  <si>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</si>
  <si>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</si>
  <si>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</si>
  <si>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</si>
  <si>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</si>
  <si>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</si>
  <si>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</si>
  <si>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</si>
  <si>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</si>
  <si>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</si>
  <si>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</si>
  <si>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</si>
  <si>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</si>
  <si>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</si>
  <si>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</si>
  <si>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</si>
  <si>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</si>
  <si>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</si>
  <si>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</si>
  <si>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</si>
  <si>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</si>
  <si>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</si>
  <si>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</si>
  <si>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</si>
  <si>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</si>
  <si>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</si>
  <si>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</si>
  <si>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</si>
  <si>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</si>
  <si>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</si>
  <si>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</si>
  <si>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</si>
  <si>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</si>
  <si>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</si>
  <si>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</si>
  <si>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</si>
  <si>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</si>
  <si>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</si>
  <si>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</si>
  <si>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</si>
  <si>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</si>
  <si>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</si>
  <si>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</si>
  <si>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</si>
  <si>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</si>
  <si>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</si>
  <si>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</si>
  <si>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</si>
  <si>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</si>
  <si>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</si>
  <si>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</si>
  <si>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</si>
  <si>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</si>
  <si>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</si>
  <si>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</si>
  <si>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</si>
  <si>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</si>
  <si>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</si>
  <si>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</si>
  <si>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</si>
  <si>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</si>
  <si>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</si>
  <si>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</si>
  <si>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</si>
  <si>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</si>
  <si>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</si>
  <si>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</si>
  <si>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</si>
  <si>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</si>
  <si>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</si>
  <si>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</si>
  <si>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</si>
  <si>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</si>
  <si>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</si>
  <si>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</si>
  <si>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</si>
  <si>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</si>
  <si>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</si>
  <si>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</si>
  <si>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</si>
  <si>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</si>
  <si>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</si>
  <si>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</si>
  <si>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</si>
  <si>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</si>
  <si>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</si>
  <si>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</si>
  <si>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</si>
  <si>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</si>
  <si>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</si>
  <si>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</si>
  <si>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</si>
  <si>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</si>
  <si>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</si>
  <si>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</si>
  <si>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</si>
  <si>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</si>
  <si>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</si>
  <si>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</si>
  <si>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</si>
  <si>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</si>
  <si>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</si>
  <si>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</si>
  <si>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</si>
  <si>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</si>
  <si>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</si>
  <si>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</si>
  <si>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</si>
  <si>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</si>
  <si>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</si>
  <si>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</si>
  <si>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</si>
  <si>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</si>
  <si>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</si>
  <si>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</si>
  <si>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</si>
  <si>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</si>
  <si>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</si>
  <si>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</si>
  <si>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</si>
  <si>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</si>
  <si>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</si>
  <si>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</si>
  <si>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</si>
  <si>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</si>
  <si>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</si>
  <si>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</si>
  <si>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</si>
  <si>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</si>
  <si>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</si>
  <si>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</si>
  <si>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</si>
  <si>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</si>
  <si>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</si>
  <si>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</si>
  <si>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</si>
  <si>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</si>
  <si>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</si>
  <si>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</si>
  <si>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</si>
  <si>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</si>
  <si>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</si>
  <si>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</si>
  <si>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</si>
  <si>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</si>
  <si>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</si>
  <si>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</si>
  <si>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</si>
  <si>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</si>
  <si>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</si>
  <si>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</si>
  <si>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</si>
  <si>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</si>
  <si>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</si>
  <si>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</si>
  <si>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</si>
  <si>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</si>
  <si>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</si>
  <si>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</si>
  <si>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</si>
  <si>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</si>
  <si>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</si>
  <si>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</si>
  <si>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</si>
  <si>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</si>
  <si>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</si>
  <si>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</si>
  <si>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</si>
  <si>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</si>
  <si>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</si>
  <si>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</si>
  <si>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</si>
  <si>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</si>
  <si>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</si>
  <si>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</si>
  <si>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</si>
  <si>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</si>
  <si>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</si>
  <si>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</si>
  <si>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</si>
  <si>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</si>
  <si>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</si>
  <si>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</si>
  <si>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</si>
  <si>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</si>
  <si>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</si>
  <si>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</si>
  <si>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</si>
  <si>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</si>
  <si>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</si>
  <si>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</si>
  <si>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</si>
  <si>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</si>
  <si>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</si>
  <si>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</si>
  <si>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</si>
  <si>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</si>
  <si>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</si>
  <si>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</si>
  <si>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</si>
  <si>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</si>
  <si>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</si>
  <si>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</si>
  <si>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</si>
  <si>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</si>
  <si>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</si>
  <si>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</si>
  <si>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</si>
  <si>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</si>
  <si>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</si>
  <si>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</si>
  <si>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</si>
  <si>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</si>
  <si>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</si>
  <si>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</si>
  <si>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</si>
  <si>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</si>
  <si>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</si>
  <si>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</si>
  <si>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</si>
  <si>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</si>
  <si>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</si>
  <si>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</si>
  <si>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</si>
  <si>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</si>
  <si>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</si>
  <si>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</si>
  <si>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</si>
  <si>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</si>
  <si>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</si>
  <si>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</si>
  <si>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</si>
  <si>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</si>
  <si>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</si>
  <si>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</si>
  <si>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</si>
  <si>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</si>
  <si>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</si>
  <si>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</si>
  <si>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</si>
  <si>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</si>
  <si>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</si>
  <si>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</si>
  <si>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</si>
  <si>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</si>
  <si>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</si>
  <si>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</si>
  <si>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</si>
  <si>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</si>
  <si>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</si>
  <si>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</si>
  <si>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</si>
  <si>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</si>
  <si>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</si>
  <si>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</si>
  <si>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</si>
  <si>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</si>
  <si>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</si>
  <si>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</si>
  <si>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</si>
  <si>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</si>
  <si>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</si>
  <si>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</si>
  <si>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</si>
  <si>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</si>
  <si>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</si>
  <si>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</si>
  <si>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</si>
  <si>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</si>
  <si>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</si>
  <si>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</si>
  <si>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</si>
  <si>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</si>
  <si>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</si>
  <si>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</si>
  <si>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</si>
  <si>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</si>
  <si>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</si>
  <si>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</si>
  <si>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</si>
  <si>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</si>
  <si>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</si>
  <si>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</si>
  <si>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</si>
  <si>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</si>
  <si>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</si>
  <si>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</si>
  <si>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</si>
  <si>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</si>
  <si>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</si>
  <si>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</si>
  <si>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</si>
  <si>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</si>
  <si>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</si>
  <si>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</si>
  <si>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</si>
  <si>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</si>
  <si>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</si>
  <si>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</si>
  <si>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</si>
  <si>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</si>
  <si>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</si>
  <si>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</si>
  <si>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</si>
  <si>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</si>
  <si>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</si>
  <si>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</si>
  <si>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</si>
  <si>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</si>
  <si>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</si>
  <si>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</si>
  <si>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</si>
  <si>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</si>
  <si>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</si>
  <si>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</si>
  <si>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</si>
  <si>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</si>
  <si>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</si>
  <si>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</si>
  <si>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</si>
  <si>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</si>
  <si>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</si>
  <si>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</si>
  <si>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</si>
  <si>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</si>
  <si>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</si>
  <si>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</si>
  <si>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</si>
  <si>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</si>
  <si>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</si>
  <si>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</si>
  <si>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</si>
  <si>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</si>
  <si>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</si>
  <si>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</si>
  <si>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</si>
  <si>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</si>
  <si>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</si>
  <si>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</si>
  <si>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</si>
  <si>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</si>
  <si>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</si>
  <si>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</si>
  <si>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</si>
  <si>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</si>
  <si>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</si>
  <si>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</si>
  <si>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</si>
  <si>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</si>
  <si>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</si>
  <si>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</si>
  <si>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</si>
  <si>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</si>
  <si>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</si>
  <si>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</si>
  <si>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</si>
  <si>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</si>
  <si>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</si>
  <si>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</si>
  <si>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</si>
  <si>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</si>
  <si>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</si>
  <si>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</si>
  <si>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</si>
  <si>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</si>
  <si>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</si>
  <si>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</si>
  <si>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</si>
  <si>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</si>
  <si>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</si>
  <si>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</si>
  <si>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</si>
  <si>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</si>
  <si>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</si>
  <si>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</si>
  <si>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</si>
  <si>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</si>
  <si>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</si>
  <si>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</si>
  <si>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</si>
  <si>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</si>
  <si>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</si>
  <si>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</si>
  <si>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</si>
  <si>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</si>
  <si>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</si>
  <si>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</si>
  <si>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</si>
  <si>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</si>
  <si>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</si>
  <si>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</si>
  <si>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</si>
  <si>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</si>
  <si>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</si>
  <si>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</si>
  <si>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</si>
  <si>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</si>
  <si>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</si>
  <si>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</si>
  <si>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</si>
  <si>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</si>
  <si>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</si>
  <si>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</si>
  <si>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</si>
  <si>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</si>
  <si>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</si>
  <si>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</si>
  <si>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</si>
  <si>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</si>
  <si>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</si>
  <si>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</si>
  <si>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</si>
  <si>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</si>
  <si>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</si>
  <si>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</si>
  <si>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</si>
  <si>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</si>
  <si>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</si>
  <si>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</si>
  <si>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</si>
  <si>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</si>
  <si>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</si>
  <si>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</si>
  <si>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</si>
  <si>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</si>
  <si>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</si>
  <si>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</si>
  <si>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</si>
  <si>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</si>
  <si>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</si>
  <si>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</si>
  <si>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</si>
  <si>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</si>
  <si>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</si>
  <si>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</si>
  <si>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</si>
  <si>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</si>
  <si>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</si>
  <si>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</si>
  <si>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</si>
  <si>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</si>
  <si>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</si>
  <si>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</si>
  <si>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</si>
  <si>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</si>
  <si>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</si>
  <si>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</si>
  <si>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</si>
  <si>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</si>
  <si>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</si>
  <si>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</si>
  <si>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</si>
  <si>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</si>
  <si>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</si>
  <si>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</si>
  <si>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</si>
  <si>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</si>
  <si>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</si>
  <si>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</si>
  <si>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</si>
  <si>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</si>
  <si>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</si>
  <si>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</si>
  <si>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</si>
  <si>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</si>
  <si>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</si>
  <si>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</si>
  <si>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</si>
  <si>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</si>
  <si>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</si>
  <si>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</si>
  <si>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</si>
  <si>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</si>
  <si>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</si>
  <si>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</si>
  <si>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</si>
  <si>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</si>
  <si>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</si>
  <si>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</si>
  <si>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</si>
  <si>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</si>
  <si>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</si>
  <si>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</si>
  <si>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</si>
  <si>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</si>
  <si>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</si>
  <si>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</si>
  <si>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</si>
  <si>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</si>
  <si>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</si>
  <si>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</si>
  <si>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</si>
  <si>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</si>
  <si>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</si>
  <si>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</si>
  <si>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</si>
  <si>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</si>
  <si>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</si>
  <si>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</si>
  <si>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</si>
  <si>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</si>
  <si>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</si>
  <si>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</si>
  <si>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</si>
  <si>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</si>
  <si>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</si>
  <si>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</si>
  <si>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</si>
  <si>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</si>
  <si>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</si>
  <si>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</si>
  <si>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</si>
  <si>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</si>
  <si>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</si>
  <si>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</si>
  <si>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</si>
  <si>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</si>
  <si>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</si>
  <si>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</si>
  <si>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</si>
  <si>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</si>
  <si>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</si>
  <si>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</si>
  <si>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</si>
  <si>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</si>
  <si>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</si>
  <si>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</si>
  <si>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</si>
  <si>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</si>
  <si>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</si>
  <si>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</si>
  <si>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</si>
  <si>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</si>
  <si>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</si>
  <si>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</si>
  <si>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</si>
  <si>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</si>
  <si>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</si>
  <si>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</si>
  <si>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</si>
  <si>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</si>
  <si>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</si>
  <si>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</si>
  <si>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</si>
  <si>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</si>
  <si>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</si>
  <si>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</si>
  <si>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</si>
  <si>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</si>
  <si>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</si>
  <si>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</si>
  <si>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</si>
  <si>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</si>
  <si>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</si>
  <si>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</si>
  <si>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</si>
  <si>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</si>
  <si>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</si>
  <si>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</si>
  <si>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</si>
  <si>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</si>
  <si>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</si>
  <si>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</si>
  <si>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</si>
  <si>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</si>
  <si>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</si>
  <si>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</si>
  <si>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</si>
  <si>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</si>
  <si>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</si>
  <si>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</si>
  <si>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</si>
  <si>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</si>
  <si>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</si>
  <si>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</si>
  <si>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</si>
  <si>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</si>
  <si>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</si>
  <si>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</si>
  <si>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</si>
  <si>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</si>
  <si>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</si>
  <si>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</si>
  <si>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</si>
  <si>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</si>
  <si>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</si>
  <si>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</si>
  <si>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</si>
  <si>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</si>
  <si>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</si>
  <si>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</si>
  <si>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</si>
  <si>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</si>
  <si>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</si>
  <si>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</si>
  <si>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</si>
  <si>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</si>
  <si>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</si>
  <si>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</si>
  <si>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</si>
  <si>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</si>
  <si>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</si>
  <si>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</si>
  <si>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</si>
  <si>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</si>
  <si>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</si>
  <si>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</si>
  <si>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</si>
  <si>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</si>
  <si>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</si>
  <si>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</si>
  <si>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</si>
  <si>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</si>
  <si>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</si>
  <si>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</si>
  <si>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</si>
  <si>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</si>
  <si>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</si>
  <si>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</si>
  <si>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</si>
  <si>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</si>
  <si>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</si>
  <si>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</si>
  <si>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</si>
  <si>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</si>
  <si>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</si>
  <si>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</si>
  <si>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</si>
  <si>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</si>
  <si>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</si>
  <si>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</si>
  <si>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</si>
  <si>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</si>
  <si>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</si>
  <si>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</si>
  <si>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</si>
  <si>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</si>
  <si>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</si>
  <si>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</si>
  <si>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</si>
  <si>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</si>
  <si>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</si>
  <si>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</si>
  <si>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</si>
  <si>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</si>
  <si>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</si>
  <si>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</si>
  <si>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</si>
  <si>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</si>
  <si>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</si>
  <si>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</si>
  <si>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</si>
  <si>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</si>
  <si>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</si>
  <si>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</si>
  <si>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</si>
  <si>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</si>
  <si>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</si>
  <si>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</si>
  <si>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</si>
  <si>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</si>
  <si>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</si>
  <si>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</si>
  <si>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</si>
  <si>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</si>
  <si>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</si>
  <si>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</si>
  <si>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</si>
  <si>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</si>
  <si>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</si>
  <si>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</si>
  <si>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</si>
  <si>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</si>
  <si>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</si>
  <si>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</si>
  <si>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</si>
  <si>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</si>
  <si>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</si>
  <si>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</si>
  <si>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</si>
  <si>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</si>
  <si>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</si>
  <si>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</si>
  <si>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</si>
  <si>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</si>
  <si>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</si>
  <si>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</si>
  <si>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</si>
  <si>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</si>
  <si>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</si>
  <si>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</si>
  <si>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</si>
  <si>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</si>
  <si>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</si>
  <si>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</si>
  <si>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</si>
  <si>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</si>
  <si>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</si>
  <si>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</si>
  <si>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</si>
  <si>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</si>
  <si>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</si>
  <si>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</si>
  <si>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</si>
  <si>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</si>
  <si>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</si>
  <si>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</si>
  <si>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</si>
  <si>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</si>
  <si>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</si>
  <si>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</si>
  <si>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</si>
  <si>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</si>
  <si>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</si>
  <si>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</si>
  <si>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</si>
  <si>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</si>
  <si>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</si>
  <si>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</si>
  <si>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</si>
  <si>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</si>
  <si>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</si>
  <si>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</si>
  <si>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</si>
  <si>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</si>
  <si>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</si>
  <si>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</si>
  <si>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</si>
  <si>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</si>
  <si>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</si>
  <si>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</si>
  <si>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</si>
  <si>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</si>
  <si>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</si>
  <si>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</si>
  <si>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</si>
  <si>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</si>
  <si>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</si>
  <si>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</si>
  <si>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</si>
  <si>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</si>
  <si>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</si>
  <si>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</si>
  <si>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</si>
  <si>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</si>
  <si>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</si>
  <si>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</si>
  <si>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</si>
  <si>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</si>
  <si>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</si>
  <si>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</si>
  <si>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</si>
  <si>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</si>
  <si>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</si>
  <si>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</si>
  <si>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</si>
  <si>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</si>
  <si>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</si>
  <si>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</si>
  <si>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</si>
  <si>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</si>
  <si>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</si>
  <si>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</si>
  <si>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</si>
  <si>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</si>
  <si>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</si>
  <si>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</si>
  <si>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</si>
  <si>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</si>
  <si>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</si>
  <si>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</si>
  <si>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</si>
  <si>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</si>
  <si>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</si>
  <si>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</si>
  <si>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</si>
  <si>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</si>
  <si>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</si>
  <si>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</si>
  <si>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</si>
  <si>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</si>
  <si>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</si>
  <si>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</si>
  <si>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</si>
  <si>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</si>
  <si>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</si>
  <si>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</si>
  <si>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</si>
  <si>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</si>
  <si>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</si>
  <si>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</si>
  <si>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</si>
  <si>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</si>
  <si>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</si>
  <si>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</si>
  <si>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</si>
  <si>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</si>
  <si>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</si>
  <si>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</si>
  <si>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</si>
  <si>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</si>
  <si>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</si>
  <si>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</si>
  <si>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</si>
  <si>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</si>
  <si>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</si>
  <si>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</si>
  <si>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</si>
  <si>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</si>
  <si>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</si>
  <si>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</si>
  <si>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</si>
  <si>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</si>
  <si>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</si>
  <si>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</si>
  <si>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</si>
  <si>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</si>
  <si>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</si>
  <si>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</si>
  <si>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</si>
  <si>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</si>
  <si>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</si>
  <si>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</si>
  <si>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</si>
  <si>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</si>
  <si>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</si>
  <si>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</si>
  <si>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</si>
  <si>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</si>
  <si>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</si>
  <si>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</si>
  <si>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</si>
  <si>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</si>
  <si>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</si>
  <si>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</si>
  <si>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</si>
  <si>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</si>
  <si>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</si>
  <si>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</si>
  <si>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</si>
  <si>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</si>
  <si>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</si>
  <si>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</si>
  <si>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</si>
  <si>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</si>
  <si>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</si>
  <si>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</si>
  <si>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</si>
  <si>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</si>
  <si>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</si>
  <si>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</si>
  <si>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</si>
  <si>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</si>
  <si>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</si>
  <si>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</si>
  <si>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</si>
  <si>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</si>
  <si>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</si>
  <si>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</si>
  <si>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</si>
  <si>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</si>
  <si>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</si>
  <si>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</si>
  <si>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</si>
  <si>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</si>
  <si>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</si>
  <si>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</si>
  <si>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</si>
  <si>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</si>
  <si>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</si>
  <si>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</si>
  <si>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</si>
  <si>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</si>
  <si>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</si>
  <si>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</si>
  <si>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</si>
  <si>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</si>
  <si>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</si>
  <si>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</si>
  <si>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</si>
  <si>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</si>
  <si>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</si>
  <si>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</si>
  <si>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</si>
  <si>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</si>
  <si>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</si>
  <si>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</si>
  <si>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</si>
  <si>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</si>
  <si>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</si>
  <si>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</si>
  <si>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</si>
  <si>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</si>
  <si>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</si>
  <si>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</si>
  <si>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</si>
  <si>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</si>
  <si>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</si>
  <si>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</si>
  <si>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</si>
  <si>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</si>
  <si>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</si>
  <si>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</si>
  <si>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</si>
  <si>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</si>
  <si>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</si>
  <si>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</si>
  <si>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</si>
  <si>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</si>
  <si>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</si>
  <si>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</si>
  <si>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</si>
  <si>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</si>
  <si>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</si>
  <si>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</si>
  <si>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</si>
  <si>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</si>
  <si>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</si>
  <si>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</si>
  <si>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</si>
  <si>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</si>
  <si>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</si>
  <si>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</si>
  <si>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</si>
  <si>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</si>
  <si>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</si>
  <si>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</si>
  <si>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</si>
  <si>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</si>
  <si>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</si>
  <si>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</si>
  <si>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</si>
  <si>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</si>
  <si>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</si>
  <si>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</si>
  <si>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</si>
  <si>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</si>
  <si>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</si>
  <si>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</si>
  <si>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</si>
  <si>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</si>
  <si>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</si>
  <si>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</si>
  <si>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</si>
  <si>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</si>
  <si>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</si>
  <si>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</si>
  <si>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</si>
  <si>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</si>
  <si>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</si>
  <si>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</si>
  <si>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</si>
  <si>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</si>
  <si>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</si>
  <si>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</si>
  <si>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</si>
  <si>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</si>
  <si>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</si>
  <si>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</si>
  <si>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</si>
  <si>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</si>
  <si>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</si>
  <si>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</si>
  <si>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</si>
  <si>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</si>
  <si>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</si>
  <si>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</si>
  <si>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</si>
  <si>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</si>
  <si>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</si>
  <si>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</si>
  <si>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</si>
  <si>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</si>
  <si>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</si>
  <si>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</si>
  <si>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</si>
  <si>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</si>
  <si>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</si>
  <si>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</si>
  <si>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</si>
  <si>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</si>
  <si>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</si>
  <si>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</si>
  <si>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</si>
  <si>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</si>
  <si>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</si>
  <si>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</si>
  <si>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</si>
  <si>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</si>
  <si>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</si>
  <si>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</si>
  <si>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</si>
  <si>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</si>
  <si>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</si>
  <si>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</si>
  <si>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</si>
  <si>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</si>
  <si>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</si>
  <si>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</si>
  <si>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</si>
  <si>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</si>
  <si>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</si>
  <si>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</si>
  <si>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</si>
  <si>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</si>
  <si>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</si>
  <si>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</si>
  <si>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</si>
  <si>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</si>
  <si>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</si>
  <si>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</si>
  <si>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</si>
  <si>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</si>
  <si>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</si>
  <si>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</si>
  <si>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</si>
  <si>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</si>
  <si>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</si>
  <si>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</si>
  <si>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</si>
  <si>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</si>
  <si>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</si>
  <si>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</si>
  <si>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</si>
  <si>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</si>
  <si>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</si>
  <si>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</si>
  <si>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</si>
  <si>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</si>
  <si>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</si>
  <si>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</si>
  <si>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</si>
  <si>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</si>
  <si>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</si>
  <si>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</si>
  <si>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</si>
  <si>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</si>
  <si>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</si>
  <si>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</si>
  <si>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</si>
  <si>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</si>
  <si>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</si>
  <si>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</si>
  <si>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</si>
  <si>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</si>
  <si>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</si>
  <si>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</si>
  <si>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</si>
  <si>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</si>
  <si>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</si>
  <si>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</si>
  <si>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</si>
  <si>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</si>
  <si>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</si>
  <si>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</si>
  <si>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</si>
  <si>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</si>
  <si>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</si>
  <si>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</si>
  <si>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</si>
  <si>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</si>
  <si>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</si>
  <si>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</si>
  <si>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</si>
  <si>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</si>
  <si>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</si>
  <si>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</si>
  <si>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</si>
  <si>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</si>
  <si>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</si>
  <si>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</si>
  <si>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</si>
  <si>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</si>
  <si>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</si>
  <si>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</si>
  <si>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</si>
  <si>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</si>
  <si>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</si>
  <si>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</si>
  <si>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</si>
  <si>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</si>
  <si>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</si>
  <si>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</si>
  <si>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</si>
  <si>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</si>
  <si>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</si>
  <si>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</si>
  <si>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</si>
  <si>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</si>
  <si>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</si>
  <si>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</si>
  <si>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</si>
  <si>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</si>
  <si>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</si>
  <si>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</si>
  <si>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</si>
  <si>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</si>
  <si>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</si>
  <si>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</si>
  <si>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</si>
  <si>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</si>
  <si>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</si>
  <si>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</si>
  <si>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</si>
  <si>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</si>
  <si>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</si>
  <si>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</si>
  <si>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</si>
  <si>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</si>
  <si>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</si>
  <si>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</si>
  <si>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</si>
  <si>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</si>
  <si>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</si>
  <si>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</si>
  <si>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</si>
  <si>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</si>
  <si>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</si>
  <si>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</si>
  <si>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</si>
  <si>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</si>
  <si>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</si>
  <si>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</si>
  <si>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</si>
  <si>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</si>
  <si>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</si>
  <si>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</si>
  <si>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</si>
  <si>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</si>
  <si>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</si>
  <si>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</si>
  <si>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</si>
  <si>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</si>
  <si>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</si>
  <si>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</si>
  <si>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</si>
  <si>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</si>
  <si>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</si>
  <si>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</si>
  <si>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</si>
  <si>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</si>
  <si>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</si>
  <si>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</si>
  <si>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</si>
  <si>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</si>
  <si>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</si>
  <si>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</si>
  <si>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</si>
  <si>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</si>
  <si>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</si>
  <si>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</si>
  <si>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</si>
  <si>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</si>
  <si>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</si>
  <si>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</si>
  <si>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</si>
  <si>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</si>
  <si>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</si>
  <si>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</si>
  <si>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</si>
  <si>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</si>
  <si>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</si>
  <si>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</si>
  <si>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</si>
  <si>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</si>
  <si>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</si>
  <si>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</si>
  <si>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</si>
  <si>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</si>
  <si>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</si>
  <si>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</si>
  <si>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</si>
  <si>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</si>
  <si>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</si>
  <si>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</si>
  <si>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</si>
  <si>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</si>
  <si>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</si>
  <si>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</si>
  <si>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</si>
  <si>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</si>
  <si>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</si>
  <si>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</si>
  <si>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</si>
  <si>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</si>
  <si>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</si>
  <si>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</si>
  <si>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</si>
  <si>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</si>
  <si>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</si>
  <si>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</si>
  <si>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</si>
  <si>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</si>
  <si>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</si>
  <si>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</si>
  <si>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</si>
  <si>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</si>
  <si>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</si>
  <si>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</si>
  <si>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</si>
  <si>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</si>
  <si>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</si>
  <si>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</si>
  <si>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</si>
  <si>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</si>
  <si>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</si>
  <si>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</si>
  <si>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</si>
  <si>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</si>
  <si>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</si>
  <si>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</si>
  <si>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</si>
  <si>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</si>
  <si>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</si>
  <si>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</si>
  <si>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</si>
  <si>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</si>
  <si>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</si>
  <si>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</si>
  <si>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</si>
  <si>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</si>
  <si>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</si>
  <si>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</si>
  <si>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</si>
  <si>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</si>
  <si>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</si>
  <si>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</si>
  <si>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</si>
  <si>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</si>
  <si>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</si>
  <si>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</si>
  <si>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</si>
  <si>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</si>
  <si>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</si>
  <si>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</si>
  <si>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وسپه 89880 تا 806</t>
  </si>
  <si>
    <t>10/8/1400</t>
  </si>
  <si>
    <t>وسپه 121932 تا 782</t>
  </si>
  <si>
    <t>وغدیر 88178 تا 1302</t>
  </si>
  <si>
    <t>11/8/1400</t>
  </si>
  <si>
    <t>وسپه 50691 تا 792</t>
  </si>
  <si>
    <t>وغدیر 97691 تا 1439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</si>
</sst>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6690</v>
      </c>
      <c r="C1" s="40" t="s">
        <v>1329</v>
      </c>
      <c r="D1" s="40" t="s">
        <v>1330</v>
      </c>
      <c r="E1" s="40" t="s">
        <v>6689</v>
      </c>
      <c r="F1" s="40" t="s">
        <v>6688</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6691</v>
      </c>
      <c r="I4" s="40" t="s">
        <v>6686</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6656</v>
      </c>
      <c r="I5" s="40" t="s">
        <v>6686</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6657</v>
      </c>
      <c r="I6" s="40" t="s">
        <v>6686</v>
      </c>
      <c r="L6" s="40" t="str">
        <f t="shared" si="0"/>
        <v>USD,20210904,272810,274110,270050,270310,1,1,1</v>
      </c>
    </row>
    <row r="7" spans="1:15">
      <c r="A7" s="412">
        <v>270860</v>
      </c>
      <c r="B7" s="412">
        <v>270850</v>
      </c>
      <c r="C7" s="412">
        <v>272910</v>
      </c>
      <c r="D7" s="412">
        <v>272910</v>
      </c>
      <c r="E7" s="40">
        <v>2560</v>
      </c>
      <c r="F7" s="413">
        <v>9.4999999999999998E-3</v>
      </c>
      <c r="G7" s="414">
        <v>44441</v>
      </c>
      <c r="H7" s="40" t="s">
        <v>6658</v>
      </c>
      <c r="I7" s="40" t="s">
        <v>6686</v>
      </c>
      <c r="L7" s="40" t="str">
        <f t="shared" si="0"/>
        <v>USD,20210902,270860,272910,270850,272910,1,1,1</v>
      </c>
    </row>
    <row r="8" spans="1:15">
      <c r="A8" s="412">
        <v>273310</v>
      </c>
      <c r="B8" s="412">
        <v>270050</v>
      </c>
      <c r="C8" s="412">
        <v>273410</v>
      </c>
      <c r="D8" s="412">
        <v>270350</v>
      </c>
      <c r="E8" s="40">
        <v>3870</v>
      </c>
      <c r="F8" s="413">
        <v>1.43E-2</v>
      </c>
      <c r="G8" s="414">
        <v>44440</v>
      </c>
      <c r="H8" s="40" t="s">
        <v>6659</v>
      </c>
      <c r="I8" s="40" t="s">
        <v>6686</v>
      </c>
      <c r="L8" s="40" t="str">
        <f t="shared" si="0"/>
        <v>USD,20210901,273310,273410,270050,270350,1,1,1</v>
      </c>
    </row>
    <row r="9" spans="1:15">
      <c r="A9" s="412">
        <v>273870</v>
      </c>
      <c r="B9" s="412">
        <v>272250</v>
      </c>
      <c r="C9" s="412">
        <v>274310</v>
      </c>
      <c r="D9" s="412">
        <v>274220</v>
      </c>
      <c r="E9" s="40">
        <v>3580</v>
      </c>
      <c r="F9" s="413">
        <v>1.32E-2</v>
      </c>
      <c r="G9" s="414">
        <v>44439</v>
      </c>
      <c r="H9" s="40" t="s">
        <v>6660</v>
      </c>
      <c r="I9" s="40" t="s">
        <v>6686</v>
      </c>
      <c r="L9" s="40" t="str">
        <f t="shared" si="0"/>
        <v>USD,20210831,273870,274310,272250,274220,1,1,1</v>
      </c>
    </row>
    <row r="10" spans="1:15">
      <c r="A10" s="412">
        <v>273850</v>
      </c>
      <c r="B10" s="412">
        <v>269350</v>
      </c>
      <c r="C10" s="412">
        <v>274010</v>
      </c>
      <c r="D10" s="412">
        <v>270640</v>
      </c>
      <c r="E10" s="40">
        <v>5440</v>
      </c>
      <c r="F10" s="413">
        <v>2.01E-2</v>
      </c>
      <c r="G10" s="414">
        <v>44438</v>
      </c>
      <c r="H10" s="40" t="s">
        <v>6661</v>
      </c>
      <c r="I10" s="40" t="s">
        <v>6686</v>
      </c>
      <c r="L10" s="40" t="str">
        <f t="shared" si="0"/>
        <v>USD,20210830,273850,274010,269350,270640,1,1,1</v>
      </c>
      <c r="O10" t="s">
        <v>6687</v>
      </c>
    </row>
    <row r="11" spans="1:15">
      <c r="A11" s="412">
        <v>281890</v>
      </c>
      <c r="B11" s="412">
        <v>275490</v>
      </c>
      <c r="C11" s="412">
        <v>282040</v>
      </c>
      <c r="D11" s="412">
        <v>276080</v>
      </c>
      <c r="E11" s="40">
        <v>5930</v>
      </c>
      <c r="F11" s="413">
        <v>2.1499999999999998E-2</v>
      </c>
      <c r="G11" s="414">
        <v>44437</v>
      </c>
      <c r="H11" s="40" t="s">
        <v>6662</v>
      </c>
      <c r="I11" s="40" t="s">
        <v>6686</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6663</v>
      </c>
      <c r="I12" s="40" t="s">
        <v>6686</v>
      </c>
      <c r="L12" s="40" t="str">
        <f t="shared" si="0"/>
        <v>USD,20210828,282460,283740,281190,282010,1,1,1</v>
      </c>
    </row>
    <row r="13" spans="1:15">
      <c r="A13" s="412">
        <v>279490</v>
      </c>
      <c r="B13" s="412">
        <v>277890</v>
      </c>
      <c r="C13" s="412">
        <v>280240</v>
      </c>
      <c r="D13" s="412">
        <v>278990</v>
      </c>
      <c r="E13" s="40">
        <v>500</v>
      </c>
      <c r="F13" s="413">
        <v>1.8E-3</v>
      </c>
      <c r="G13" s="414">
        <v>44434</v>
      </c>
      <c r="H13" s="40" t="s">
        <v>6664</v>
      </c>
      <c r="I13" s="40" t="s">
        <v>6686</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6665</v>
      </c>
      <c r="I14" s="40" t="s">
        <v>6686</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6666</v>
      </c>
      <c r="I15" s="40" t="s">
        <v>6686</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6667</v>
      </c>
      <c r="I16" s="40" t="s">
        <v>6686</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6668</v>
      </c>
      <c r="I17" s="40" t="s">
        <v>6686</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6669</v>
      </c>
      <c r="I18" s="40" t="s">
        <v>6686</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6670</v>
      </c>
      <c r="I19" s="40" t="s">
        <v>6686</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6671</v>
      </c>
      <c r="I20" s="40" t="s">
        <v>6686</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6672</v>
      </c>
      <c r="I21" s="40" t="s">
        <v>6686</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6673</v>
      </c>
      <c r="I22" s="40" t="s">
        <v>6686</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6674</v>
      </c>
      <c r="I23" s="40" t="s">
        <v>6686</v>
      </c>
      <c r="L23" s="40" t="str">
        <f t="shared" si="0"/>
        <v>USD,20210812,265890,266840,262890,264290,1,1,1</v>
      </c>
    </row>
    <row r="24" spans="1:12">
      <c r="A24" s="412">
        <v>264690</v>
      </c>
      <c r="B24" s="412">
        <v>263790</v>
      </c>
      <c r="C24" s="412">
        <v>267640</v>
      </c>
      <c r="D24" s="412">
        <v>266090</v>
      </c>
      <c r="E24" s="40">
        <v>2750</v>
      </c>
      <c r="F24" s="413">
        <v>1.04E-2</v>
      </c>
      <c r="G24" s="414">
        <v>44419</v>
      </c>
      <c r="H24" s="40" t="s">
        <v>6675</v>
      </c>
      <c r="I24" s="40" t="s">
        <v>6686</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6676</v>
      </c>
      <c r="I25" s="40" t="s">
        <v>6686</v>
      </c>
      <c r="L25" s="40" t="str">
        <f t="shared" si="0"/>
        <v>USD,20210810,258990,263940,258990,263340,1,1,1</v>
      </c>
    </row>
    <row r="26" spans="1:12">
      <c r="A26" s="412">
        <v>256340</v>
      </c>
      <c r="B26" s="412">
        <v>256190</v>
      </c>
      <c r="C26" s="412">
        <v>259940</v>
      </c>
      <c r="D26" s="412">
        <v>259090</v>
      </c>
      <c r="E26" s="40">
        <v>2200</v>
      </c>
      <c r="F26" s="413">
        <v>8.6E-3</v>
      </c>
      <c r="G26" s="414">
        <v>44417</v>
      </c>
      <c r="H26" s="40" t="s">
        <v>6677</v>
      </c>
      <c r="I26" s="40" t="s">
        <v>6686</v>
      </c>
      <c r="L26" s="40" t="str">
        <f t="shared" si="0"/>
        <v>USD,20210809,256340,259940,256190,259090,1,1,1</v>
      </c>
    </row>
    <row r="27" spans="1:12">
      <c r="A27" s="412">
        <v>256290</v>
      </c>
      <c r="B27" s="412">
        <v>252390</v>
      </c>
      <c r="C27" s="412">
        <v>257440</v>
      </c>
      <c r="D27" s="412">
        <v>256890</v>
      </c>
      <c r="E27" s="40">
        <v>510</v>
      </c>
      <c r="F27" s="413">
        <v>2E-3</v>
      </c>
      <c r="G27" s="414">
        <v>44416</v>
      </c>
      <c r="H27" s="40" t="s">
        <v>6678</v>
      </c>
      <c r="I27" s="40" t="s">
        <v>6686</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6679</v>
      </c>
      <c r="I28" s="40" t="s">
        <v>6686</v>
      </c>
      <c r="L28" s="40" t="str">
        <f t="shared" si="0"/>
        <v>USD,20210807,254190,257140,253990,256380,1,1,1</v>
      </c>
    </row>
    <row r="29" spans="1:12">
      <c r="A29" s="412">
        <v>256490</v>
      </c>
      <c r="B29" s="412">
        <v>255790</v>
      </c>
      <c r="C29" s="412">
        <v>256740</v>
      </c>
      <c r="D29" s="412">
        <v>256190</v>
      </c>
      <c r="E29" s="40" t="s">
        <v>6680</v>
      </c>
      <c r="F29" s="40" t="s">
        <v>6680</v>
      </c>
      <c r="G29" s="414">
        <v>44413</v>
      </c>
      <c r="H29" s="40" t="s">
        <v>6681</v>
      </c>
      <c r="I29" s="40" t="s">
        <v>6686</v>
      </c>
      <c r="L29" s="40" t="str">
        <f t="shared" si="0"/>
        <v>USD,20210805,256490,256740,255790,256190,1,1,1</v>
      </c>
    </row>
    <row r="30" spans="1:12">
      <c r="A30" s="412">
        <v>257250</v>
      </c>
      <c r="B30" s="412">
        <v>254690</v>
      </c>
      <c r="C30" s="412">
        <v>257340</v>
      </c>
      <c r="D30" s="412">
        <v>256190</v>
      </c>
      <c r="E30" s="40">
        <v>1100</v>
      </c>
      <c r="F30" s="413">
        <v>4.3E-3</v>
      </c>
      <c r="G30" s="414">
        <v>44412</v>
      </c>
      <c r="H30" s="40" t="s">
        <v>6682</v>
      </c>
      <c r="I30" s="40" t="s">
        <v>6686</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6683</v>
      </c>
      <c r="I31" s="40" t="s">
        <v>6686</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6684</v>
      </c>
      <c r="I32" s="40" t="s">
        <v>6686</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6685</v>
      </c>
      <c r="I33" s="40" t="s">
        <v>6686</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6692</v>
      </c>
      <c r="I34" s="40" t="s">
        <v>6686</v>
      </c>
      <c r="L34" s="40" t="str">
        <f t="shared" si="0"/>
        <v>USD,20210731,260270,260640,256990,257290,1,1,1</v>
      </c>
    </row>
    <row r="35" spans="1:12">
      <c r="A35" s="270">
        <v>251800</v>
      </c>
      <c r="B35" s="270">
        <v>251690</v>
      </c>
      <c r="C35" s="270">
        <v>256240</v>
      </c>
      <c r="D35" s="270">
        <v>255990</v>
      </c>
      <c r="E35">
        <v>4330</v>
      </c>
      <c r="F35" s="137">
        <v>1.72E-2</v>
      </c>
      <c r="G35" s="203">
        <v>44405</v>
      </c>
      <c r="H35" t="s">
        <v>6693</v>
      </c>
      <c r="I35" s="40" t="s">
        <v>6686</v>
      </c>
      <c r="L35" s="40" t="str">
        <f t="shared" si="0"/>
        <v>USD,20210728,251800,256240,251690,255990,1,1,1</v>
      </c>
    </row>
    <row r="36" spans="1:12">
      <c r="A36" s="270">
        <v>250780</v>
      </c>
      <c r="B36" s="270">
        <v>250690</v>
      </c>
      <c r="C36" s="270">
        <v>252340</v>
      </c>
      <c r="D36" s="270">
        <v>251660</v>
      </c>
      <c r="E36">
        <v>1170</v>
      </c>
      <c r="F36" s="137">
        <v>4.7000000000000002E-3</v>
      </c>
      <c r="G36" s="203">
        <v>44404</v>
      </c>
      <c r="H36" t="s">
        <v>6694</v>
      </c>
      <c r="I36" s="40" t="s">
        <v>6686</v>
      </c>
      <c r="L36" s="40" t="str">
        <f t="shared" si="0"/>
        <v>USD,20210727,250780,252340,250690,251660,1,1,1</v>
      </c>
    </row>
    <row r="37" spans="1:12">
      <c r="A37" s="270">
        <v>248130</v>
      </c>
      <c r="B37" s="270">
        <v>247890</v>
      </c>
      <c r="C37" s="270">
        <v>251040</v>
      </c>
      <c r="D37" s="270">
        <v>250490</v>
      </c>
      <c r="E37">
        <v>2700</v>
      </c>
      <c r="F37" s="137">
        <v>1.09E-2</v>
      </c>
      <c r="G37" s="203">
        <v>44403</v>
      </c>
      <c r="H37" t="s">
        <v>6695</v>
      </c>
      <c r="I37" s="40" t="s">
        <v>6686</v>
      </c>
      <c r="L37" s="40" t="str">
        <f t="shared" si="0"/>
        <v>USD,20210726,248130,251040,247890,250490,1,1,1</v>
      </c>
    </row>
    <row r="38" spans="1:12">
      <c r="A38" s="270">
        <v>247490</v>
      </c>
      <c r="B38" s="270">
        <v>247490</v>
      </c>
      <c r="C38" s="270">
        <v>249630</v>
      </c>
      <c r="D38" s="270">
        <v>247790</v>
      </c>
      <c r="E38">
        <v>700</v>
      </c>
      <c r="F38" s="137">
        <v>2.8E-3</v>
      </c>
      <c r="G38" s="203">
        <v>44402</v>
      </c>
      <c r="H38" t="s">
        <v>6696</v>
      </c>
      <c r="I38" s="40" t="s">
        <v>6686</v>
      </c>
      <c r="L38" s="40" t="str">
        <f t="shared" si="0"/>
        <v>USD,20210725,247490,249630,247490,247790,1,1,1</v>
      </c>
    </row>
    <row r="39" spans="1:12">
      <c r="A39" s="270">
        <v>246190</v>
      </c>
      <c r="B39" s="270">
        <v>246190</v>
      </c>
      <c r="C39" s="270">
        <v>247340</v>
      </c>
      <c r="D39" s="270">
        <v>247090</v>
      </c>
      <c r="E39">
        <v>810</v>
      </c>
      <c r="F39" s="137">
        <v>3.3E-3</v>
      </c>
      <c r="G39" s="203">
        <v>44401</v>
      </c>
      <c r="H39" t="s">
        <v>6697</v>
      </c>
      <c r="I39" s="40" t="s">
        <v>6686</v>
      </c>
      <c r="L39" s="40" t="str">
        <f t="shared" si="0"/>
        <v>USD,20210724,246190,247340,246190,247090,1,1,1</v>
      </c>
    </row>
    <row r="40" spans="1:12">
      <c r="A40" s="270">
        <v>246240</v>
      </c>
      <c r="B40" s="270">
        <v>246190</v>
      </c>
      <c r="C40" s="270">
        <v>246340</v>
      </c>
      <c r="D40" s="270">
        <v>246280</v>
      </c>
      <c r="E40">
        <v>1090</v>
      </c>
      <c r="F40" s="137">
        <v>4.4000000000000003E-3</v>
      </c>
      <c r="G40" s="203">
        <v>44399</v>
      </c>
      <c r="H40" t="s">
        <v>6698</v>
      </c>
      <c r="I40" s="40" t="s">
        <v>6686</v>
      </c>
      <c r="L40" s="40" t="str">
        <f t="shared" si="0"/>
        <v>USD,20210722,246240,246340,246190,246280,1,1,1</v>
      </c>
    </row>
    <row r="41" spans="1:12">
      <c r="A41" s="270">
        <v>244820</v>
      </c>
      <c r="B41" s="270">
        <v>244790</v>
      </c>
      <c r="C41" s="270">
        <v>245440</v>
      </c>
      <c r="D41" s="270">
        <v>245190</v>
      </c>
      <c r="E41">
        <v>550</v>
      </c>
      <c r="F41" s="137">
        <v>2.2000000000000001E-3</v>
      </c>
      <c r="G41" s="203">
        <v>44397</v>
      </c>
      <c r="H41" t="s">
        <v>6699</v>
      </c>
      <c r="I41" s="40" t="s">
        <v>6686</v>
      </c>
      <c r="L41" s="40" t="str">
        <f t="shared" si="0"/>
        <v>USD,20210720,244820,245440,244790,245190,1,1,1</v>
      </c>
    </row>
    <row r="42" spans="1:12">
      <c r="A42" s="270">
        <v>245600</v>
      </c>
      <c r="B42" s="270">
        <v>244090</v>
      </c>
      <c r="C42" s="270">
        <v>245640</v>
      </c>
      <c r="D42" s="270">
        <v>244640</v>
      </c>
      <c r="E42">
        <v>650</v>
      </c>
      <c r="F42" s="137">
        <v>2.7000000000000001E-3</v>
      </c>
      <c r="G42" s="203">
        <v>44396</v>
      </c>
      <c r="H42" t="s">
        <v>6700</v>
      </c>
      <c r="I42" s="40" t="s">
        <v>6686</v>
      </c>
      <c r="L42" s="40" t="str">
        <f t="shared" si="0"/>
        <v>USD,20210719,245600,245640,244090,244640,1,1,1</v>
      </c>
    </row>
    <row r="43" spans="1:12">
      <c r="A43" s="270">
        <v>246890</v>
      </c>
      <c r="B43" s="270">
        <v>245190</v>
      </c>
      <c r="C43" s="270">
        <v>247640</v>
      </c>
      <c r="D43" s="270">
        <v>245290</v>
      </c>
      <c r="E43">
        <v>2000</v>
      </c>
      <c r="F43" s="137">
        <v>8.2000000000000007E-3</v>
      </c>
      <c r="G43" s="203">
        <v>44395</v>
      </c>
      <c r="H43" t="s">
        <v>6701</v>
      </c>
      <c r="I43" s="40" t="s">
        <v>6686</v>
      </c>
      <c r="L43" s="40" t="str">
        <f t="shared" si="0"/>
        <v>USD,20210718,246890,247640,245190,245290,1,1,1</v>
      </c>
    </row>
    <row r="44" spans="1:12">
      <c r="A44" s="270">
        <v>247610</v>
      </c>
      <c r="B44" s="270">
        <v>247190</v>
      </c>
      <c r="C44" s="270">
        <v>248340</v>
      </c>
      <c r="D44" s="270">
        <v>247290</v>
      </c>
      <c r="E44">
        <v>300</v>
      </c>
      <c r="F44" s="137">
        <v>1.1999999999999999E-3</v>
      </c>
      <c r="G44" s="203">
        <v>44394</v>
      </c>
      <c r="H44" t="s">
        <v>6702</v>
      </c>
      <c r="I44" s="40" t="s">
        <v>6686</v>
      </c>
      <c r="L44" s="40" t="str">
        <f t="shared" si="0"/>
        <v>USD,20210717,247610,248340,247190,247290,1,1,1</v>
      </c>
    </row>
    <row r="45" spans="1:12">
      <c r="A45" s="270">
        <v>246190</v>
      </c>
      <c r="B45" s="270">
        <v>246190</v>
      </c>
      <c r="C45" s="270">
        <v>247940</v>
      </c>
      <c r="D45" s="270">
        <v>246990</v>
      </c>
      <c r="E45">
        <v>950</v>
      </c>
      <c r="F45" s="137">
        <v>3.8999999999999998E-3</v>
      </c>
      <c r="G45" s="203">
        <v>44392</v>
      </c>
      <c r="H45" t="s">
        <v>6703</v>
      </c>
      <c r="I45" s="40" t="s">
        <v>6686</v>
      </c>
      <c r="L45" s="40" t="str">
        <f t="shared" si="0"/>
        <v>USD,20210715,246190,247940,246190,246990,1,1,1</v>
      </c>
    </row>
    <row r="46" spans="1:12">
      <c r="A46" s="270">
        <v>247610</v>
      </c>
      <c r="B46" s="270">
        <v>244990</v>
      </c>
      <c r="C46" s="270">
        <v>247640</v>
      </c>
      <c r="D46" s="270">
        <v>246040</v>
      </c>
      <c r="E46">
        <v>1550</v>
      </c>
      <c r="F46" s="137">
        <v>6.3E-3</v>
      </c>
      <c r="G46" s="203">
        <v>44391</v>
      </c>
      <c r="H46" t="s">
        <v>6704</v>
      </c>
      <c r="I46" s="40" t="s">
        <v>6686</v>
      </c>
      <c r="L46" s="40" t="str">
        <f t="shared" si="0"/>
        <v>USD,20210714,247610,247640,244990,246040,1,1,1</v>
      </c>
    </row>
    <row r="47" spans="1:12">
      <c r="A47" s="270">
        <v>249740</v>
      </c>
      <c r="B47" s="270">
        <v>247090</v>
      </c>
      <c r="C47" s="270">
        <v>249740</v>
      </c>
      <c r="D47" s="270">
        <v>247590</v>
      </c>
      <c r="E47">
        <v>2100</v>
      </c>
      <c r="F47" s="137">
        <v>8.5000000000000006E-3</v>
      </c>
      <c r="G47" s="203">
        <v>44390</v>
      </c>
      <c r="H47" t="s">
        <v>6705</v>
      </c>
      <c r="I47" s="40" t="s">
        <v>6686</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6686</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6686</v>
      </c>
      <c r="L49" s="40" t="str">
        <f t="shared" si="0"/>
        <v>USD,20210711,249210,250140,248790,249990,1,1,1</v>
      </c>
    </row>
    <row r="50" spans="1:12">
      <c r="A50" s="270">
        <v>250340</v>
      </c>
      <c r="B50" s="270">
        <v>248190</v>
      </c>
      <c r="C50" s="270">
        <v>250340</v>
      </c>
      <c r="D50" s="270">
        <v>249490</v>
      </c>
      <c r="E50">
        <v>700</v>
      </c>
      <c r="F50" s="137">
        <v>2.8E-3</v>
      </c>
      <c r="G50" s="203">
        <v>44387</v>
      </c>
      <c r="H50" t="s">
        <v>6706</v>
      </c>
      <c r="I50" s="40" t="s">
        <v>6686</v>
      </c>
      <c r="L50" s="40" t="str">
        <f t="shared" si="0"/>
        <v>USD,20210710,250340,250340,248190,249490,1,1,1</v>
      </c>
    </row>
    <row r="51" spans="1:12">
      <c r="A51" s="270">
        <v>251070</v>
      </c>
      <c r="B51" s="270">
        <v>249490</v>
      </c>
      <c r="C51" s="270">
        <v>251140</v>
      </c>
      <c r="D51" s="270">
        <v>250190</v>
      </c>
      <c r="E51">
        <v>670</v>
      </c>
      <c r="F51" s="137">
        <v>2.7000000000000001E-3</v>
      </c>
      <c r="G51" s="203">
        <v>44385</v>
      </c>
      <c r="H51" t="s">
        <v>6707</v>
      </c>
      <c r="I51" s="40" t="s">
        <v>6686</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6686</v>
      </c>
      <c r="L52" s="40" t="str">
        <f t="shared" si="0"/>
        <v>USD,20210707,250490,251340,250010,250860,1,1,1</v>
      </c>
    </row>
    <row r="53" spans="1:12">
      <c r="A53" s="270">
        <v>250990</v>
      </c>
      <c r="B53" s="270">
        <v>250590</v>
      </c>
      <c r="C53" s="270">
        <v>251640</v>
      </c>
      <c r="D53" s="270">
        <v>251090</v>
      </c>
      <c r="E53">
        <v>1370</v>
      </c>
      <c r="F53" s="137">
        <v>5.4999999999999997E-3</v>
      </c>
      <c r="G53" s="203">
        <v>44383</v>
      </c>
      <c r="H53" t="s">
        <v>6708</v>
      </c>
      <c r="I53" s="40" t="s">
        <v>6686</v>
      </c>
      <c r="L53" s="40" t="str">
        <f t="shared" si="0"/>
        <v>USD,20210706,250990,251640,250590,251090,1,1,1</v>
      </c>
    </row>
    <row r="54" spans="1:12">
      <c r="A54" s="270">
        <v>251220</v>
      </c>
      <c r="B54" s="270">
        <v>249490</v>
      </c>
      <c r="C54" s="270">
        <v>251340</v>
      </c>
      <c r="D54" s="270">
        <v>249720</v>
      </c>
      <c r="E54">
        <v>1790</v>
      </c>
      <c r="F54" s="137">
        <v>7.1999999999999998E-3</v>
      </c>
      <c r="G54" s="203">
        <v>44382</v>
      </c>
      <c r="H54" t="s">
        <v>6709</v>
      </c>
      <c r="I54" s="40" t="s">
        <v>6686</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6686</v>
      </c>
      <c r="L55" s="40" t="str">
        <f t="shared" si="0"/>
        <v>USD,20210704,254490,254640,251090,251510,1,1,1</v>
      </c>
    </row>
    <row r="56" spans="1:12">
      <c r="A56" s="270">
        <v>251600</v>
      </c>
      <c r="B56" s="270">
        <v>251390</v>
      </c>
      <c r="C56" s="270">
        <v>253840</v>
      </c>
      <c r="D56" s="270">
        <v>252360</v>
      </c>
      <c r="E56">
        <v>850</v>
      </c>
      <c r="F56" s="137">
        <v>3.3999999999999998E-3</v>
      </c>
      <c r="G56" s="203">
        <v>44380</v>
      </c>
      <c r="H56" t="s">
        <v>6710</v>
      </c>
      <c r="I56" s="40" t="s">
        <v>6686</v>
      </c>
      <c r="L56" s="40" t="str">
        <f t="shared" si="0"/>
        <v>USD,20210703,251600,253840,251390,252360,1,1,1</v>
      </c>
    </row>
    <row r="57" spans="1:12">
      <c r="A57" s="270">
        <v>253290</v>
      </c>
      <c r="B57" s="270">
        <v>250690</v>
      </c>
      <c r="C57" s="270">
        <v>253440</v>
      </c>
      <c r="D57" s="270">
        <v>251510</v>
      </c>
      <c r="E57">
        <v>2490</v>
      </c>
      <c r="F57" s="137">
        <v>9.9000000000000008E-3</v>
      </c>
      <c r="G57" s="203">
        <v>44378</v>
      </c>
      <c r="H57" t="s">
        <v>6711</v>
      </c>
      <c r="I57" s="40" t="s">
        <v>6686</v>
      </c>
      <c r="L57" s="40" t="str">
        <f t="shared" si="0"/>
        <v>USD,20210701,253290,253440,250690,251510,1,1,1</v>
      </c>
    </row>
    <row r="58" spans="1:12">
      <c r="A58" s="270">
        <v>250020</v>
      </c>
      <c r="B58" s="270">
        <v>249990</v>
      </c>
      <c r="C58" s="270">
        <v>254130</v>
      </c>
      <c r="D58" s="270">
        <v>254000</v>
      </c>
      <c r="E58">
        <v>4350</v>
      </c>
      <c r="F58" s="137">
        <v>1.7399999999999999E-2</v>
      </c>
      <c r="G58" s="203">
        <v>44377</v>
      </c>
      <c r="H58" t="s">
        <v>6712</v>
      </c>
      <c r="I58" s="40" t="s">
        <v>6686</v>
      </c>
      <c r="L58" s="40" t="str">
        <f t="shared" si="0"/>
        <v>USD,20210630,250020,254130,249990,254000,1,1,1</v>
      </c>
    </row>
    <row r="59" spans="1:12">
      <c r="A59" s="270">
        <v>249000</v>
      </c>
      <c r="B59" s="270">
        <v>248890</v>
      </c>
      <c r="C59" s="270">
        <v>252040</v>
      </c>
      <c r="D59" s="270">
        <v>249650</v>
      </c>
      <c r="E59">
        <v>2530</v>
      </c>
      <c r="F59" s="137">
        <v>1.0200000000000001E-2</v>
      </c>
      <c r="G59" s="203">
        <v>44376</v>
      </c>
      <c r="H59" t="s">
        <v>6713</v>
      </c>
      <c r="I59" s="40" t="s">
        <v>6686</v>
      </c>
      <c r="L59" s="40" t="str">
        <f t="shared" si="0"/>
        <v>USD,20210629,249000,252040,248890,249650,1,1,1</v>
      </c>
    </row>
    <row r="60" spans="1:12">
      <c r="A60" s="270">
        <v>246360</v>
      </c>
      <c r="B60" s="270">
        <v>246290</v>
      </c>
      <c r="C60" s="270">
        <v>248640</v>
      </c>
      <c r="D60" s="270">
        <v>247120</v>
      </c>
      <c r="E60">
        <v>350</v>
      </c>
      <c r="F60" s="137">
        <v>1.4E-3</v>
      </c>
      <c r="G60" s="203">
        <v>44375</v>
      </c>
      <c r="H60" t="s">
        <v>6714</v>
      </c>
      <c r="I60" s="40" t="s">
        <v>6686</v>
      </c>
      <c r="L60" s="40" t="str">
        <f t="shared" si="0"/>
        <v>USD,20210628,246360,248640,246290,247120,1,1,1</v>
      </c>
    </row>
    <row r="61" spans="1:12">
      <c r="A61" s="270">
        <v>243490</v>
      </c>
      <c r="B61" s="270">
        <v>243490</v>
      </c>
      <c r="C61" s="270">
        <v>246940</v>
      </c>
      <c r="D61" s="270">
        <v>246770</v>
      </c>
      <c r="E61">
        <v>2230</v>
      </c>
      <c r="F61" s="137">
        <v>9.1000000000000004E-3</v>
      </c>
      <c r="G61" s="203">
        <v>44374</v>
      </c>
      <c r="H61" t="s">
        <v>6715</v>
      </c>
      <c r="I61" s="40" t="s">
        <v>6686</v>
      </c>
      <c r="L61" s="40" t="str">
        <f t="shared" si="0"/>
        <v>USD,20210627,243490,246940,243490,246770,1,1,1</v>
      </c>
    </row>
    <row r="62" spans="1:12">
      <c r="A62" s="270">
        <v>244500</v>
      </c>
      <c r="B62" s="270">
        <v>242290</v>
      </c>
      <c r="C62" s="270">
        <v>245940</v>
      </c>
      <c r="D62" s="270">
        <v>244540</v>
      </c>
      <c r="E62">
        <v>2650</v>
      </c>
      <c r="F62" s="137">
        <v>1.0999999999999999E-2</v>
      </c>
      <c r="G62" s="203">
        <v>44373</v>
      </c>
      <c r="H62" t="s">
        <v>6716</v>
      </c>
      <c r="I62" s="40" t="s">
        <v>6686</v>
      </c>
      <c r="L62" s="40" t="str">
        <f t="shared" si="0"/>
        <v>USD,20210626,244500,245940,242290,244540,1,1,1</v>
      </c>
    </row>
    <row r="63" spans="1:12">
      <c r="A63" s="270">
        <v>241690</v>
      </c>
      <c r="B63" s="270">
        <v>241190</v>
      </c>
      <c r="C63" s="270">
        <v>242440</v>
      </c>
      <c r="D63" s="270">
        <v>241890</v>
      </c>
      <c r="E63">
        <v>100</v>
      </c>
      <c r="F63" s="137">
        <v>4.0000000000000002E-4</v>
      </c>
      <c r="G63" s="203">
        <v>44371</v>
      </c>
      <c r="H63" t="s">
        <v>6717</v>
      </c>
      <c r="I63" s="40" t="s">
        <v>6686</v>
      </c>
      <c r="L63" s="40" t="str">
        <f t="shared" si="0"/>
        <v>USD,20210624,241690,242440,241190,241890,1,1,1</v>
      </c>
    </row>
    <row r="64" spans="1:12">
      <c r="A64" s="270">
        <v>243310</v>
      </c>
      <c r="B64" s="270">
        <v>240790</v>
      </c>
      <c r="C64" s="270">
        <v>243340</v>
      </c>
      <c r="D64" s="270">
        <v>241790</v>
      </c>
      <c r="E64">
        <v>880</v>
      </c>
      <c r="F64" s="137">
        <v>3.5999999999999999E-3</v>
      </c>
      <c r="G64" s="203">
        <v>44370</v>
      </c>
      <c r="H64" t="s">
        <v>6718</v>
      </c>
      <c r="I64" s="40" t="s">
        <v>6686</v>
      </c>
      <c r="L64" s="40" t="str">
        <f t="shared" si="0"/>
        <v>USD,20210623,243310,243340,240790,241790,1,1,1</v>
      </c>
    </row>
    <row r="65" spans="1:12">
      <c r="A65" s="270">
        <v>241190</v>
      </c>
      <c r="B65" s="270">
        <v>241190</v>
      </c>
      <c r="C65" s="270">
        <v>243140</v>
      </c>
      <c r="D65" s="270">
        <v>242670</v>
      </c>
      <c r="E65">
        <v>1680</v>
      </c>
      <c r="F65" s="137">
        <v>7.0000000000000001E-3</v>
      </c>
      <c r="G65" s="203">
        <v>44369</v>
      </c>
      <c r="H65" t="s">
        <v>6719</v>
      </c>
      <c r="I65" s="40" t="s">
        <v>6686</v>
      </c>
      <c r="L65" s="40" t="str">
        <f t="shared" si="0"/>
        <v>USD,20210622,241190,243140,241190,242670,1,1,1</v>
      </c>
    </row>
    <row r="66" spans="1:12">
      <c r="A66" s="270">
        <v>239940</v>
      </c>
      <c r="B66" s="270">
        <v>239190</v>
      </c>
      <c r="C66" s="270">
        <v>241440</v>
      </c>
      <c r="D66" s="270">
        <v>240990</v>
      </c>
      <c r="E66">
        <v>1390</v>
      </c>
      <c r="F66" s="137">
        <v>5.7999999999999996E-3</v>
      </c>
      <c r="G66" s="203">
        <v>44368</v>
      </c>
      <c r="H66" t="s">
        <v>6720</v>
      </c>
      <c r="I66" s="40" t="s">
        <v>6686</v>
      </c>
      <c r="L66" s="40" t="str">
        <f t="shared" si="0"/>
        <v>USD,20210621,239940,241440,239190,240990,1,1,1</v>
      </c>
    </row>
    <row r="67" spans="1:12">
      <c r="A67" s="270">
        <v>234810</v>
      </c>
      <c r="B67" s="270">
        <v>234690</v>
      </c>
      <c r="C67" s="270">
        <v>240440</v>
      </c>
      <c r="D67" s="270">
        <v>239600</v>
      </c>
      <c r="E67">
        <v>4710</v>
      </c>
      <c r="F67" s="137">
        <v>2.01E-2</v>
      </c>
      <c r="G67" s="203">
        <v>44367</v>
      </c>
      <c r="H67" t="s">
        <v>6721</v>
      </c>
      <c r="I67" s="40" t="s">
        <v>6686</v>
      </c>
      <c r="L67" s="40" t="str">
        <f t="shared" si="0"/>
        <v>USD,20210620,234810,240440,234690,239600,1,1,1</v>
      </c>
    </row>
    <row r="68" spans="1:12">
      <c r="A68" s="270">
        <v>244490</v>
      </c>
      <c r="B68" s="270">
        <v>234690</v>
      </c>
      <c r="C68" s="270">
        <v>244640</v>
      </c>
      <c r="D68" s="270">
        <v>234890</v>
      </c>
      <c r="E68">
        <v>9400</v>
      </c>
      <c r="F68" s="416">
        <v>0.04</v>
      </c>
      <c r="G68" s="203">
        <v>44366</v>
      </c>
      <c r="H68" t="s">
        <v>6722</v>
      </c>
      <c r="I68" s="40" t="s">
        <v>6686</v>
      </c>
      <c r="L68" s="40" t="str">
        <f t="shared" si="0"/>
        <v>USD,20210619,244490,244640,234690,234890,1,1,1</v>
      </c>
    </row>
    <row r="69" spans="1:12">
      <c r="A69" s="270">
        <v>242010</v>
      </c>
      <c r="B69" s="270">
        <v>241950</v>
      </c>
      <c r="C69" s="270">
        <v>244640</v>
      </c>
      <c r="D69" s="270">
        <v>244290</v>
      </c>
      <c r="E69">
        <v>2540</v>
      </c>
      <c r="F69" s="137">
        <v>1.0500000000000001E-2</v>
      </c>
      <c r="G69" s="203">
        <v>44364</v>
      </c>
      <c r="H69" t="s">
        <v>6723</v>
      </c>
      <c r="I69" s="40" t="s">
        <v>6686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6724</v>
      </c>
      <c r="I70" s="40" t="s">
        <v>6686</v>
      </c>
      <c r="L70" s="40" t="str">
        <f t="shared" si="1"/>
        <v>USD,20210616,240470,242250,239450,241750,1,1,1</v>
      </c>
    </row>
    <row r="71" spans="1:12">
      <c r="A71" s="270">
        <v>239970</v>
      </c>
      <c r="B71" s="270">
        <v>239950</v>
      </c>
      <c r="C71" s="270">
        <v>240050</v>
      </c>
      <c r="D71" s="270">
        <v>240490</v>
      </c>
      <c r="E71">
        <v>770</v>
      </c>
      <c r="F71" s="137">
        <v>3.2000000000000002E-3</v>
      </c>
      <c r="G71" s="203">
        <v>44362</v>
      </c>
      <c r="H71" t="s">
        <v>6725</v>
      </c>
      <c r="I71" s="40" t="s">
        <v>6686</v>
      </c>
      <c r="L71" s="40" t="str">
        <f t="shared" si="1"/>
        <v>USD,20210615,239970,240050,239950,240490,1,1,1</v>
      </c>
    </row>
    <row r="72" spans="1:12">
      <c r="A72" s="270">
        <v>240970</v>
      </c>
      <c r="B72" s="270">
        <v>238550</v>
      </c>
      <c r="C72" s="270">
        <v>241050</v>
      </c>
      <c r="D72" s="270">
        <v>239720</v>
      </c>
      <c r="E72">
        <v>1310</v>
      </c>
      <c r="F72" s="137">
        <v>5.4999999999999997E-3</v>
      </c>
      <c r="G72" s="203">
        <v>44361</v>
      </c>
      <c r="H72" t="s">
        <v>6726</v>
      </c>
      <c r="I72" s="40" t="s">
        <v>6686</v>
      </c>
      <c r="L72" s="40" t="str">
        <f t="shared" si="1"/>
        <v>USD,20210614,240970,241050,238550,239720,1,1,1</v>
      </c>
    </row>
    <row r="73" spans="1:12">
      <c r="A73" s="270">
        <v>238970</v>
      </c>
      <c r="B73" s="270">
        <v>238940</v>
      </c>
      <c r="C73" s="270">
        <v>241250</v>
      </c>
      <c r="D73" s="270">
        <v>241030</v>
      </c>
      <c r="E73">
        <v>3280</v>
      </c>
      <c r="F73" s="137">
        <v>1.38E-2</v>
      </c>
      <c r="G73" s="203">
        <v>44360</v>
      </c>
      <c r="H73" t="s">
        <v>6727</v>
      </c>
      <c r="I73" s="40" t="s">
        <v>6686</v>
      </c>
      <c r="L73" s="40" t="str">
        <f t="shared" si="1"/>
        <v>USD,20210613,238970,241250,238940,241030,1,1,1</v>
      </c>
    </row>
    <row r="74" spans="1:12">
      <c r="A74" s="270">
        <v>236830</v>
      </c>
      <c r="B74" s="270">
        <v>236140</v>
      </c>
      <c r="C74" s="270">
        <v>238350</v>
      </c>
      <c r="D74" s="270">
        <v>237750</v>
      </c>
      <c r="E74">
        <v>1480</v>
      </c>
      <c r="F74" s="137">
        <v>6.1999999999999998E-3</v>
      </c>
      <c r="G74" s="203">
        <v>44359</v>
      </c>
      <c r="H74" t="s">
        <v>6728</v>
      </c>
      <c r="I74" s="40" t="s">
        <v>6686</v>
      </c>
      <c r="L74" s="40" t="str">
        <f t="shared" si="1"/>
        <v>USD,20210612,236830,238350,236140,237750,1,1,1</v>
      </c>
    </row>
    <row r="75" spans="1:12">
      <c r="A75" s="270">
        <v>240010</v>
      </c>
      <c r="B75" s="270">
        <v>239140</v>
      </c>
      <c r="C75" s="270">
        <v>240450</v>
      </c>
      <c r="D75" s="270">
        <v>239230</v>
      </c>
      <c r="E75">
        <v>2210</v>
      </c>
      <c r="F75" s="137">
        <v>9.1999999999999998E-3</v>
      </c>
      <c r="G75" s="203">
        <v>44357</v>
      </c>
      <c r="H75" t="s">
        <v>6729</v>
      </c>
      <c r="I75" s="40" t="s">
        <v>6686</v>
      </c>
      <c r="L75" s="40" t="str">
        <f t="shared" si="1"/>
        <v>USD,20210610,240010,240450,239140,239230,1,1,1</v>
      </c>
    </row>
    <row r="76" spans="1:12">
      <c r="A76" s="270">
        <v>235480</v>
      </c>
      <c r="B76" s="270">
        <v>235440</v>
      </c>
      <c r="C76" s="270">
        <v>241550</v>
      </c>
      <c r="D76" s="270">
        <v>241440</v>
      </c>
      <c r="E76">
        <v>5950</v>
      </c>
      <c r="F76" s="137">
        <v>2.53E-2</v>
      </c>
      <c r="G76" s="203">
        <v>44356</v>
      </c>
      <c r="H76" t="s">
        <v>6730</v>
      </c>
      <c r="I76" s="40" t="s">
        <v>6686</v>
      </c>
      <c r="L76" s="40" t="str">
        <f t="shared" si="1"/>
        <v>USD,20210609,235480,241550,235440,241440,1,1,1</v>
      </c>
    </row>
    <row r="77" spans="1:12">
      <c r="A77" s="270">
        <v>235890</v>
      </c>
      <c r="B77" s="270">
        <v>234820</v>
      </c>
      <c r="C77" s="270">
        <v>235960</v>
      </c>
      <c r="D77" s="270">
        <v>235490</v>
      </c>
      <c r="E77">
        <v>460</v>
      </c>
      <c r="F77" s="137">
        <v>2E-3</v>
      </c>
      <c r="G77" s="203">
        <v>44355</v>
      </c>
      <c r="H77" t="s">
        <v>6731</v>
      </c>
      <c r="I77" s="40" t="s">
        <v>6686</v>
      </c>
      <c r="L77" s="40" t="str">
        <f t="shared" si="1"/>
        <v>USD,20210608,235890,235960,234820,235490,1,1,1</v>
      </c>
    </row>
    <row r="78" spans="1:12">
      <c r="A78" s="270">
        <v>234340</v>
      </c>
      <c r="B78" s="270">
        <v>234240</v>
      </c>
      <c r="C78" s="270">
        <v>235960</v>
      </c>
      <c r="D78" s="270">
        <v>235950</v>
      </c>
      <c r="E78">
        <v>1620</v>
      </c>
      <c r="F78" s="137">
        <v>6.8999999999999999E-3</v>
      </c>
      <c r="G78" s="203">
        <v>44354</v>
      </c>
      <c r="H78" t="s">
        <v>6732</v>
      </c>
      <c r="I78" s="40" t="s">
        <v>6686</v>
      </c>
      <c r="L78" s="40" t="str">
        <f t="shared" si="1"/>
        <v>USD,20210607,234340,235960,234240,235950,1,1,1</v>
      </c>
    </row>
    <row r="79" spans="1:12">
      <c r="A79" s="270">
        <v>234330</v>
      </c>
      <c r="B79" s="270">
        <v>233900</v>
      </c>
      <c r="C79" s="270">
        <v>234350</v>
      </c>
      <c r="D79" s="270">
        <v>234330</v>
      </c>
      <c r="E79">
        <v>90</v>
      </c>
      <c r="F79" s="137">
        <v>4.0000000000000002E-4</v>
      </c>
      <c r="G79" s="203">
        <v>44350</v>
      </c>
      <c r="H79" t="s">
        <v>6733</v>
      </c>
      <c r="I79" s="40" t="s">
        <v>6686</v>
      </c>
      <c r="L79" s="40" t="str">
        <f t="shared" si="1"/>
        <v>USD,20210603,234330,234350,233900,234330,1,1,1</v>
      </c>
    </row>
    <row r="80" spans="1:12">
      <c r="A80" s="270">
        <v>234060</v>
      </c>
      <c r="B80" s="270">
        <v>228150</v>
      </c>
      <c r="C80" s="270">
        <v>234360</v>
      </c>
      <c r="D80" s="270">
        <v>234240</v>
      </c>
      <c r="E80">
        <v>80</v>
      </c>
      <c r="F80" s="137">
        <v>2.9999999999999997E-4</v>
      </c>
      <c r="G80" s="203">
        <v>44349</v>
      </c>
      <c r="H80" t="s">
        <v>6734</v>
      </c>
      <c r="I80" s="40" t="s">
        <v>6686</v>
      </c>
      <c r="L80" s="40" t="str">
        <f t="shared" si="1"/>
        <v>USD,20210602,234060,234360,228150,234240,1,1,1</v>
      </c>
    </row>
    <row r="81" spans="1:12">
      <c r="A81" s="270">
        <v>234000</v>
      </c>
      <c r="B81" s="270">
        <v>233970</v>
      </c>
      <c r="C81" s="270">
        <v>238660</v>
      </c>
      <c r="D81" s="270">
        <v>234160</v>
      </c>
      <c r="E81">
        <v>100</v>
      </c>
      <c r="F81" s="137">
        <v>4.0000000000000002E-4</v>
      </c>
      <c r="G81" s="203">
        <v>44348</v>
      </c>
      <c r="H81" t="s">
        <v>6735</v>
      </c>
      <c r="I81" s="40" t="s">
        <v>6686</v>
      </c>
      <c r="L81" s="40" t="str">
        <f t="shared" si="1"/>
        <v>USD,20210601,234000,238660,233970,234160,1,1,1</v>
      </c>
    </row>
    <row r="82" spans="1:12">
      <c r="A82" s="270">
        <v>238590</v>
      </c>
      <c r="B82" s="270">
        <v>232950</v>
      </c>
      <c r="C82" s="270">
        <v>238660</v>
      </c>
      <c r="D82" s="270">
        <v>234060</v>
      </c>
      <c r="E82">
        <v>4510</v>
      </c>
      <c r="F82" s="137">
        <v>1.9300000000000001E-2</v>
      </c>
      <c r="G82" s="203">
        <v>44347</v>
      </c>
      <c r="H82" t="s">
        <v>6736</v>
      </c>
      <c r="I82" s="40" t="s">
        <v>6686</v>
      </c>
      <c r="L82" s="40" t="str">
        <f t="shared" si="1"/>
        <v>USD,20210531,238590,238660,232950,234060,1,1,1</v>
      </c>
    </row>
    <row r="83" spans="1:12">
      <c r="A83" s="270">
        <v>234640</v>
      </c>
      <c r="B83" s="270">
        <v>234550</v>
      </c>
      <c r="C83" s="270">
        <v>238660</v>
      </c>
      <c r="D83" s="270">
        <v>238570</v>
      </c>
      <c r="E83">
        <v>3910</v>
      </c>
      <c r="F83" s="137">
        <v>1.67E-2</v>
      </c>
      <c r="G83" s="203">
        <v>44346</v>
      </c>
      <c r="H83" t="s">
        <v>6737</v>
      </c>
      <c r="I83" s="40" t="s">
        <v>6686</v>
      </c>
      <c r="L83" s="40" t="str">
        <f t="shared" si="1"/>
        <v>USD,20210530,234640,238660,234550,238570,1,1,1</v>
      </c>
    </row>
    <row r="84" spans="1:12">
      <c r="A84" s="270">
        <v>226560</v>
      </c>
      <c r="B84" s="270">
        <v>226460</v>
      </c>
      <c r="C84" s="270">
        <v>234660</v>
      </c>
      <c r="D84" s="270">
        <v>234660</v>
      </c>
      <c r="E84" t="s">
        <v>6680</v>
      </c>
      <c r="F84" t="s">
        <v>6680</v>
      </c>
      <c r="G84" s="203">
        <v>44345</v>
      </c>
      <c r="H84" t="s">
        <v>6738</v>
      </c>
      <c r="I84" s="40" t="s">
        <v>6686</v>
      </c>
      <c r="L84" s="40" t="str">
        <f t="shared" si="1"/>
        <v>USD,20210529,226560,234660,226460,234660,1,1,1</v>
      </c>
    </row>
    <row r="85" spans="1:12">
      <c r="A85" s="270">
        <v>225260</v>
      </c>
      <c r="B85" s="270">
        <v>225170</v>
      </c>
      <c r="C85" s="270">
        <v>231470</v>
      </c>
      <c r="D85" s="270">
        <v>231470</v>
      </c>
      <c r="E85">
        <v>6310</v>
      </c>
      <c r="F85" s="137">
        <v>2.8000000000000001E-2</v>
      </c>
      <c r="G85" s="203">
        <v>44343</v>
      </c>
      <c r="H85" t="s">
        <v>6739</v>
      </c>
      <c r="I85" s="40" t="s">
        <v>6686</v>
      </c>
      <c r="L85" s="40" t="str">
        <f t="shared" si="1"/>
        <v>USD,20210527,225260,231470,225170,231470,1,1,1</v>
      </c>
    </row>
    <row r="86" spans="1:12">
      <c r="A86" s="270">
        <v>224190</v>
      </c>
      <c r="B86" s="270">
        <v>224100</v>
      </c>
      <c r="C86" s="270">
        <v>225270</v>
      </c>
      <c r="D86" s="270">
        <v>225160</v>
      </c>
      <c r="E86">
        <v>1060</v>
      </c>
      <c r="F86" s="137">
        <v>4.7000000000000002E-3</v>
      </c>
      <c r="G86" s="203">
        <v>44342</v>
      </c>
      <c r="H86" t="s">
        <v>6740</v>
      </c>
      <c r="I86" s="40" t="s">
        <v>6686</v>
      </c>
      <c r="L86" s="40" t="str">
        <f t="shared" si="1"/>
        <v>USD,20210526,224190,225270,224100,225160,1,1,1</v>
      </c>
    </row>
    <row r="87" spans="1:12">
      <c r="A87" s="270">
        <v>224120</v>
      </c>
      <c r="B87" s="270">
        <v>223150</v>
      </c>
      <c r="C87" s="270">
        <v>224430</v>
      </c>
      <c r="D87" s="270">
        <v>224100</v>
      </c>
      <c r="E87">
        <v>10</v>
      </c>
      <c r="F87" t="s">
        <v>6680</v>
      </c>
      <c r="G87" s="203">
        <v>44341</v>
      </c>
      <c r="H87" t="s">
        <v>6741</v>
      </c>
      <c r="I87" s="40" t="s">
        <v>6686</v>
      </c>
      <c r="L87" s="40" t="str">
        <f t="shared" si="1"/>
        <v>USD,20210525,224120,224430,223150,224100,1,1,1</v>
      </c>
    </row>
    <row r="88" spans="1:12">
      <c r="A88" s="270">
        <v>223590</v>
      </c>
      <c r="B88" s="270">
        <v>223490</v>
      </c>
      <c r="C88" s="270">
        <v>225110</v>
      </c>
      <c r="D88" s="270">
        <v>224110</v>
      </c>
      <c r="E88">
        <v>600</v>
      </c>
      <c r="F88" s="137">
        <v>2.7000000000000001E-3</v>
      </c>
      <c r="G88" s="203">
        <v>44340</v>
      </c>
      <c r="H88" t="s">
        <v>6742</v>
      </c>
      <c r="I88" s="40" t="s">
        <v>6686</v>
      </c>
      <c r="L88" s="40" t="str">
        <f t="shared" si="1"/>
        <v>USD,20210524,223590,225110,223490,224110,1,1,1</v>
      </c>
    </row>
    <row r="89" spans="1:12">
      <c r="A89" s="270">
        <v>223440</v>
      </c>
      <c r="B89" s="270">
        <v>223390</v>
      </c>
      <c r="C89" s="270">
        <v>223990</v>
      </c>
      <c r="D89" s="270">
        <v>223510</v>
      </c>
      <c r="E89">
        <v>20</v>
      </c>
      <c r="F89" s="137">
        <v>1E-4</v>
      </c>
      <c r="G89" s="203">
        <v>44339</v>
      </c>
      <c r="H89" t="s">
        <v>6743</v>
      </c>
      <c r="I89" s="40" t="s">
        <v>6686</v>
      </c>
      <c r="L89" s="40" t="str">
        <f t="shared" si="1"/>
        <v>USD,20210523,223440,223990,223390,223510,1,1,1</v>
      </c>
    </row>
    <row r="90" spans="1:12">
      <c r="A90" s="270">
        <v>222980</v>
      </c>
      <c r="B90" s="270">
        <v>222930</v>
      </c>
      <c r="C90" s="270">
        <v>223550</v>
      </c>
      <c r="D90" s="270">
        <v>223490</v>
      </c>
      <c r="E90">
        <v>490</v>
      </c>
      <c r="F90" s="137">
        <v>2.2000000000000001E-3</v>
      </c>
      <c r="G90" s="203">
        <v>44338</v>
      </c>
      <c r="H90" t="s">
        <v>6744</v>
      </c>
      <c r="I90" s="40" t="s">
        <v>6686</v>
      </c>
      <c r="L90" s="40" t="str">
        <f t="shared" si="1"/>
        <v>USD,20210522,222980,223550,222930,223490,1,1,1</v>
      </c>
    </row>
    <row r="91" spans="1:12">
      <c r="A91" s="270">
        <v>223990</v>
      </c>
      <c r="B91" s="270">
        <v>222930</v>
      </c>
      <c r="C91" s="270">
        <v>224020</v>
      </c>
      <c r="D91" s="270">
        <v>223000</v>
      </c>
      <c r="E91">
        <v>1210</v>
      </c>
      <c r="F91" s="137">
        <v>5.4999999999999997E-3</v>
      </c>
      <c r="G91" s="203">
        <v>44336</v>
      </c>
      <c r="H91" t="s">
        <v>6745</v>
      </c>
      <c r="I91" s="40" t="s">
        <v>6686</v>
      </c>
      <c r="L91" s="40" t="str">
        <f t="shared" si="1"/>
        <v>USD,20210520,223990,224020,222930,223000,1,1,1</v>
      </c>
    </row>
    <row r="92" spans="1:12">
      <c r="A92" s="270">
        <v>225270</v>
      </c>
      <c r="B92" s="270">
        <v>221720</v>
      </c>
      <c r="C92" s="270">
        <v>225380</v>
      </c>
      <c r="D92" s="270">
        <v>221790</v>
      </c>
      <c r="E92">
        <v>3550</v>
      </c>
      <c r="F92" s="137">
        <v>1.6E-2</v>
      </c>
      <c r="G92" s="203">
        <v>44335</v>
      </c>
      <c r="H92" t="s">
        <v>6746</v>
      </c>
      <c r="I92" s="40" t="s">
        <v>6686</v>
      </c>
      <c r="L92" s="40" t="str">
        <f t="shared" si="1"/>
        <v>USD,20210519,225270,225380,221720,221790,1,1,1</v>
      </c>
    </row>
    <row r="93" spans="1:12">
      <c r="A93" s="270">
        <v>222240</v>
      </c>
      <c r="B93" s="270">
        <v>222140</v>
      </c>
      <c r="C93" s="270">
        <v>225380</v>
      </c>
      <c r="D93" s="270">
        <v>225340</v>
      </c>
      <c r="E93">
        <v>3150</v>
      </c>
      <c r="F93" s="137">
        <v>1.4200000000000001E-2</v>
      </c>
      <c r="G93" s="203">
        <v>44334</v>
      </c>
      <c r="H93" t="s">
        <v>6748</v>
      </c>
      <c r="I93" s="40" t="s">
        <v>6686</v>
      </c>
      <c r="L93" s="40" t="str">
        <f t="shared" si="1"/>
        <v>USD,20210518,222240,225380,222140,225340,1,1,1</v>
      </c>
    </row>
    <row r="94" spans="1:12">
      <c r="A94" s="270">
        <v>224160</v>
      </c>
      <c r="B94" s="270">
        <v>222140</v>
      </c>
      <c r="C94" s="270">
        <v>225270</v>
      </c>
      <c r="D94" s="270">
        <v>222190</v>
      </c>
      <c r="E94">
        <v>1950</v>
      </c>
      <c r="F94" s="137">
        <v>8.8000000000000005E-3</v>
      </c>
      <c r="G94" s="203">
        <v>44333</v>
      </c>
      <c r="H94" t="s">
        <v>6749</v>
      </c>
      <c r="I94" s="40" t="s">
        <v>6686</v>
      </c>
      <c r="L94" s="40" t="str">
        <f t="shared" si="1"/>
        <v>USD,20210517,224160,225270,222140,222190,1,1,1</v>
      </c>
    </row>
    <row r="95" spans="1:12">
      <c r="A95" s="270">
        <v>220520</v>
      </c>
      <c r="B95" s="270">
        <v>220410</v>
      </c>
      <c r="C95" s="270">
        <v>224160</v>
      </c>
      <c r="D95" s="270">
        <v>224140</v>
      </c>
      <c r="E95">
        <v>3640</v>
      </c>
      <c r="F95" s="137">
        <v>1.6500000000000001E-2</v>
      </c>
      <c r="G95" s="203">
        <v>44332</v>
      </c>
      <c r="H95" t="s">
        <v>6750</v>
      </c>
      <c r="I95" s="40" t="s">
        <v>6686</v>
      </c>
      <c r="L95" s="40" t="str">
        <f t="shared" si="1"/>
        <v>USD,20210516,220520,224160,220410,224140,1,1,1</v>
      </c>
    </row>
    <row r="96" spans="1:12">
      <c r="A96" s="270">
        <v>220760</v>
      </c>
      <c r="B96" s="270">
        <v>220410</v>
      </c>
      <c r="C96" s="270">
        <v>221880</v>
      </c>
      <c r="D96" s="270">
        <v>220500</v>
      </c>
      <c r="E96">
        <v>4370</v>
      </c>
      <c r="F96" s="137">
        <v>2.0199999999999999E-2</v>
      </c>
      <c r="G96" s="203">
        <v>44331</v>
      </c>
      <c r="H96" t="s">
        <v>6751</v>
      </c>
      <c r="I96" s="40" t="s">
        <v>6686</v>
      </c>
      <c r="L96" s="40" t="str">
        <f t="shared" si="1"/>
        <v>USD,20210515,220760,221880,220410,220500,1,1,1</v>
      </c>
    </row>
    <row r="97" spans="1:12">
      <c r="A97" s="270">
        <v>219790</v>
      </c>
      <c r="B97" s="270">
        <v>216130</v>
      </c>
      <c r="C97" s="270">
        <v>219860</v>
      </c>
      <c r="D97" s="270">
        <v>216130</v>
      </c>
      <c r="E97">
        <v>3620</v>
      </c>
      <c r="F97" s="137">
        <v>1.67E-2</v>
      </c>
      <c r="G97" s="203">
        <v>44329</v>
      </c>
      <c r="H97" t="s">
        <v>6752</v>
      </c>
      <c r="I97" s="40" t="s">
        <v>6686</v>
      </c>
      <c r="L97" s="40" t="str">
        <f t="shared" si="1"/>
        <v>USD,20210513,219790,219860,216130,216130,1,1,1</v>
      </c>
    </row>
    <row r="98" spans="1:12">
      <c r="A98" s="270">
        <v>221860</v>
      </c>
      <c r="B98" s="270">
        <v>219750</v>
      </c>
      <c r="C98" s="270">
        <v>221950</v>
      </c>
      <c r="D98" s="270">
        <v>219750</v>
      </c>
      <c r="E98">
        <v>2100</v>
      </c>
      <c r="F98" s="137">
        <v>9.5999999999999992E-3</v>
      </c>
      <c r="G98" s="203">
        <v>44328</v>
      </c>
      <c r="H98" t="s">
        <v>6753</v>
      </c>
      <c r="I98" s="40" t="s">
        <v>6686</v>
      </c>
      <c r="L98" s="40" t="str">
        <f t="shared" si="1"/>
        <v>USD,20210512,221860,221950,219750,219750,1,1,1</v>
      </c>
    </row>
    <row r="99" spans="1:12">
      <c r="A99" s="270">
        <v>216080</v>
      </c>
      <c r="B99" s="270">
        <v>216080</v>
      </c>
      <c r="C99" s="270">
        <v>223410</v>
      </c>
      <c r="D99" s="270">
        <v>221850</v>
      </c>
      <c r="E99">
        <v>5720</v>
      </c>
      <c r="F99" s="137">
        <v>2.6499999999999999E-2</v>
      </c>
      <c r="G99" s="203">
        <v>44327</v>
      </c>
      <c r="H99" t="s">
        <v>6754</v>
      </c>
      <c r="I99" s="40" t="s">
        <v>6686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6755</v>
      </c>
      <c r="I100" s="40" t="s">
        <v>6686</v>
      </c>
      <c r="L100" s="40" t="str">
        <f t="shared" si="1"/>
        <v>USD,20210510,207240,217040,207190,216130,1,1,1</v>
      </c>
    </row>
    <row r="101" spans="1:12">
      <c r="A101" s="270">
        <v>206450</v>
      </c>
      <c r="B101" s="270">
        <v>206370</v>
      </c>
      <c r="C101" s="270">
        <v>207300</v>
      </c>
      <c r="D101" s="270">
        <v>207260</v>
      </c>
      <c r="E101">
        <v>890</v>
      </c>
      <c r="F101" s="137">
        <v>4.3E-3</v>
      </c>
      <c r="G101" s="203">
        <v>44325</v>
      </c>
      <c r="H101" t="s">
        <v>6756</v>
      </c>
      <c r="I101" s="40" t="s">
        <v>6686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6757</v>
      </c>
      <c r="I102" s="40" t="s">
        <v>6686</v>
      </c>
      <c r="L102" s="40" t="str">
        <f t="shared" si="1"/>
        <v>USD,20210508,206390,206480,206370,206370,1,1,1</v>
      </c>
    </row>
    <row r="103" spans="1:12">
      <c r="A103" s="270">
        <v>206440</v>
      </c>
      <c r="B103" s="270">
        <v>206370</v>
      </c>
      <c r="C103" s="270">
        <v>206480</v>
      </c>
      <c r="D103" s="270">
        <v>206480</v>
      </c>
      <c r="E103">
        <v>2970</v>
      </c>
      <c r="F103" s="137">
        <v>1.44E-2</v>
      </c>
      <c r="G103" s="203">
        <v>44322</v>
      </c>
      <c r="H103" t="s">
        <v>6758</v>
      </c>
      <c r="I103" s="40" t="s">
        <v>6686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6759</v>
      </c>
      <c r="I104" s="40" t="s">
        <v>6686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6760</v>
      </c>
      <c r="I105" s="40" t="s">
        <v>6686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6761</v>
      </c>
      <c r="I106" s="40" t="s">
        <v>6686</v>
      </c>
      <c r="L106" s="40" t="str">
        <f t="shared" si="1"/>
        <v>USD,20210502,229110,229130,218380,218380,1,1,1</v>
      </c>
    </row>
    <row r="107" spans="1:12">
      <c r="A107" s="270">
        <v>232340</v>
      </c>
      <c r="B107" s="270">
        <v>229020</v>
      </c>
      <c r="C107" s="270">
        <v>232420</v>
      </c>
      <c r="D107" s="270">
        <v>229100</v>
      </c>
      <c r="E107">
        <v>3210</v>
      </c>
      <c r="F107" s="137">
        <v>1.4E-2</v>
      </c>
      <c r="G107" s="203">
        <v>44317</v>
      </c>
      <c r="H107" t="s">
        <v>6762</v>
      </c>
      <c r="I107" s="40" t="s">
        <v>6686</v>
      </c>
      <c r="L107" s="40" t="str">
        <f t="shared" si="1"/>
        <v>USD,20210501,232340,232420,229020,229100,1,1,1</v>
      </c>
    </row>
    <row r="108" spans="1:12">
      <c r="A108" s="270">
        <v>232410</v>
      </c>
      <c r="B108" s="270">
        <v>232310</v>
      </c>
      <c r="C108" s="270">
        <v>232420</v>
      </c>
      <c r="D108" s="270">
        <v>232310</v>
      </c>
      <c r="E108">
        <v>20</v>
      </c>
      <c r="F108" s="137">
        <v>1E-4</v>
      </c>
      <c r="G108" s="203">
        <v>44315</v>
      </c>
      <c r="H108" t="s">
        <v>6763</v>
      </c>
      <c r="I108" s="40" t="s">
        <v>6686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6764</v>
      </c>
      <c r="I109" s="40" t="s">
        <v>6686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6765</v>
      </c>
      <c r="I110" s="40" t="s">
        <v>6686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6766</v>
      </c>
      <c r="I111" s="40" t="s">
        <v>6686</v>
      </c>
      <c r="L111" s="40" t="str">
        <f t="shared" si="1"/>
        <v>USD,20210426,233380,233390,232750,232760,1,1,1</v>
      </c>
    </row>
    <row r="112" spans="1:12">
      <c r="A112" s="270">
        <v>233280</v>
      </c>
      <c r="B112" s="270">
        <v>233280</v>
      </c>
      <c r="C112" s="270">
        <v>233390</v>
      </c>
      <c r="D112" s="270">
        <v>233390</v>
      </c>
      <c r="E112">
        <v>20</v>
      </c>
      <c r="F112" s="137">
        <v>1E-4</v>
      </c>
      <c r="G112" s="203">
        <v>44311</v>
      </c>
      <c r="H112" t="s">
        <v>6767</v>
      </c>
      <c r="I112" s="40" t="s">
        <v>6686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6768</v>
      </c>
      <c r="I113" s="40" t="s">
        <v>6686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6747</v>
      </c>
      <c r="I114" s="40" t="s">
        <v>6686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6769</v>
      </c>
      <c r="I115" s="40" t="s">
        <v>6686</v>
      </c>
      <c r="L115" s="40" t="str">
        <f t="shared" si="1"/>
        <v>USD,20210421,233650,233750,233640,233690,1,1,1</v>
      </c>
    </row>
    <row r="116" spans="1:12">
      <c r="A116" s="270">
        <v>238190</v>
      </c>
      <c r="B116" s="270">
        <v>233640</v>
      </c>
      <c r="C116" s="270">
        <v>238280</v>
      </c>
      <c r="D116" s="270">
        <v>233740</v>
      </c>
      <c r="E116">
        <v>4430</v>
      </c>
      <c r="F116" s="137">
        <v>1.9E-2</v>
      </c>
      <c r="G116" s="203">
        <v>44306</v>
      </c>
      <c r="H116" t="s">
        <v>6770</v>
      </c>
      <c r="I116" s="40" t="s">
        <v>6686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6771</v>
      </c>
      <c r="I117" s="40" t="s">
        <v>6686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6772</v>
      </c>
      <c r="I118" s="40" t="s">
        <v>6686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6773</v>
      </c>
      <c r="I119" s="40" t="s">
        <v>6686</v>
      </c>
      <c r="L119" s="40" t="str">
        <f t="shared" si="1"/>
        <v>USD,20210417,239930,240000,239860,239930,1,1,1</v>
      </c>
    </row>
    <row r="120" spans="1:12">
      <c r="A120" s="270">
        <v>240920</v>
      </c>
      <c r="B120" s="270">
        <v>239860</v>
      </c>
      <c r="C120" s="270">
        <v>241010</v>
      </c>
      <c r="D120" s="270">
        <v>239870</v>
      </c>
      <c r="E120">
        <v>2480</v>
      </c>
      <c r="F120" s="137">
        <v>1.03E-2</v>
      </c>
      <c r="G120" s="203">
        <v>44301</v>
      </c>
      <c r="H120" t="s">
        <v>6774</v>
      </c>
      <c r="I120" s="40" t="s">
        <v>6686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6775</v>
      </c>
      <c r="I121" s="40" t="s">
        <v>6686</v>
      </c>
      <c r="L121" s="40" t="str">
        <f t="shared" si="1"/>
        <v>USD,20210414,240800,242390,240790,242350,1,1,1</v>
      </c>
    </row>
    <row r="122" spans="1:12">
      <c r="A122" s="270">
        <v>243020</v>
      </c>
      <c r="B122" s="270">
        <v>240790</v>
      </c>
      <c r="C122" s="270">
        <v>243060</v>
      </c>
      <c r="D122" s="270">
        <v>240900</v>
      </c>
      <c r="E122">
        <v>2060</v>
      </c>
      <c r="F122" s="137">
        <v>8.6E-3</v>
      </c>
      <c r="G122" s="203">
        <v>44299</v>
      </c>
      <c r="H122" t="s">
        <v>6776</v>
      </c>
      <c r="I122" s="40" t="s">
        <v>6686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6777</v>
      </c>
      <c r="I123" s="40" t="s">
        <v>6686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6778</v>
      </c>
      <c r="I124" s="40" t="s">
        <v>6686</v>
      </c>
      <c r="L124" s="40" t="str">
        <f t="shared" si="1"/>
        <v>USD,20210411,241950,243930,241860,242850,1,1,1</v>
      </c>
    </row>
    <row r="125" spans="1:12">
      <c r="A125" s="270">
        <v>242890</v>
      </c>
      <c r="B125" s="270">
        <v>241860</v>
      </c>
      <c r="C125" s="270">
        <v>243570</v>
      </c>
      <c r="D125" s="270">
        <v>241880</v>
      </c>
      <c r="E125">
        <v>2780</v>
      </c>
      <c r="F125" s="137">
        <v>1.15E-2</v>
      </c>
      <c r="G125" s="203">
        <v>44296</v>
      </c>
      <c r="H125" t="s">
        <v>6779</v>
      </c>
      <c r="I125" s="40" t="s">
        <v>6686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6780</v>
      </c>
      <c r="I126" s="40" t="s">
        <v>6686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6781</v>
      </c>
      <c r="I127" s="40" t="s">
        <v>6686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6782</v>
      </c>
      <c r="I128" s="40" t="s">
        <v>6686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6783</v>
      </c>
      <c r="I129" s="40" t="s">
        <v>6686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6784</v>
      </c>
      <c r="I130" s="40" t="s">
        <v>6686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6785</v>
      </c>
      <c r="I131" s="40" t="s">
        <v>6686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6786</v>
      </c>
      <c r="I132" s="40" t="s">
        <v>6686</v>
      </c>
      <c r="L132" s="40" t="str">
        <f t="shared" si="1"/>
        <v>USD,20210401,252040,252100,251990,252100,1,1,1</v>
      </c>
    </row>
    <row r="133" spans="1:12">
      <c r="A133" s="270">
        <v>252550</v>
      </c>
      <c r="B133" s="270">
        <v>251990</v>
      </c>
      <c r="C133" s="270">
        <v>252550</v>
      </c>
      <c r="D133" s="270">
        <v>252040</v>
      </c>
      <c r="E133">
        <v>500</v>
      </c>
      <c r="F133" s="137">
        <v>2E-3</v>
      </c>
      <c r="G133" s="203">
        <v>44286</v>
      </c>
      <c r="H133" t="s">
        <v>6787</v>
      </c>
      <c r="I133" s="40" t="s">
        <v>6686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6788</v>
      </c>
      <c r="I134" s="40" t="s">
        <v>6686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6789</v>
      </c>
      <c r="I135" s="40" t="s">
        <v>6686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6790</v>
      </c>
      <c r="I136" s="40" t="s">
        <v>6686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6791</v>
      </c>
      <c r="I137" s="40" t="s">
        <v>6686</v>
      </c>
      <c r="L137" s="40" t="str">
        <f t="shared" si="2"/>
        <v>USD,20210318,240410,240430,239550,239630,1,1,1</v>
      </c>
    </row>
    <row r="138" spans="1:12">
      <c r="A138" s="270">
        <v>240920</v>
      </c>
      <c r="B138" s="270">
        <v>240320</v>
      </c>
      <c r="C138" s="270">
        <v>240950</v>
      </c>
      <c r="D138" s="270">
        <v>240400</v>
      </c>
      <c r="E138">
        <v>490</v>
      </c>
      <c r="F138" s="137">
        <v>2E-3</v>
      </c>
      <c r="G138" s="203">
        <v>44272</v>
      </c>
      <c r="H138" t="s">
        <v>6792</v>
      </c>
      <c r="I138" s="40" t="s">
        <v>6686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6686</v>
      </c>
      <c r="L139" s="40" t="str">
        <f t="shared" si="2"/>
        <v>USD,20210316,239200,241380,239100,240890,1,1,1</v>
      </c>
    </row>
    <row r="140" spans="1:12">
      <c r="A140" s="270">
        <v>239200</v>
      </c>
      <c r="B140" s="270">
        <v>239100</v>
      </c>
      <c r="C140" s="270">
        <v>239210</v>
      </c>
      <c r="D140" s="270">
        <v>239170</v>
      </c>
      <c r="E140" t="s">
        <v>6680</v>
      </c>
      <c r="F140" t="s">
        <v>6680</v>
      </c>
      <c r="G140" s="203">
        <v>44270</v>
      </c>
      <c r="H140" t="s">
        <v>6369</v>
      </c>
      <c r="I140" s="40" t="s">
        <v>6686</v>
      </c>
      <c r="L140" s="40" t="str">
        <f t="shared" si="2"/>
        <v>USD,20210315,239200,239210,239100,239170,1,1,1</v>
      </c>
    </row>
    <row r="141" spans="1:12">
      <c r="A141" s="270">
        <v>241810</v>
      </c>
      <c r="B141" s="270">
        <v>239100</v>
      </c>
      <c r="C141" s="270">
        <v>241880</v>
      </c>
      <c r="D141" s="270">
        <v>239170</v>
      </c>
      <c r="E141">
        <v>2600</v>
      </c>
      <c r="F141" s="137">
        <v>1.09E-2</v>
      </c>
      <c r="G141" s="203">
        <v>44269</v>
      </c>
      <c r="H141" t="s">
        <v>6793</v>
      </c>
      <c r="I141" s="40" t="s">
        <v>6686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6794</v>
      </c>
      <c r="I142" s="40" t="s">
        <v>6686</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6686</v>
      </c>
      <c r="L144" s="40" t="str">
        <f t="shared" si="2"/>
        <v>USD,20210309,243240,244280,241050,242070,1,1,1</v>
      </c>
    </row>
    <row r="145" spans="1:12">
      <c r="A145" s="270">
        <v>239960</v>
      </c>
      <c r="B145" s="270">
        <v>239850</v>
      </c>
      <c r="C145" s="270">
        <v>244610</v>
      </c>
      <c r="D145" s="270">
        <v>243210</v>
      </c>
      <c r="E145">
        <v>3310</v>
      </c>
      <c r="F145" s="137">
        <v>1.38E-2</v>
      </c>
      <c r="G145" s="203">
        <v>44263</v>
      </c>
      <c r="H145" t="s">
        <v>6795</v>
      </c>
      <c r="I145" s="40" t="s">
        <v>6686</v>
      </c>
      <c r="L145" s="40" t="str">
        <f t="shared" si="2"/>
        <v>USD,20210308,239960,244610,239850,243210,1,1,1</v>
      </c>
    </row>
    <row r="146" spans="1:12">
      <c r="A146" s="270">
        <v>242800</v>
      </c>
      <c r="B146" s="270">
        <v>239850</v>
      </c>
      <c r="C146" s="270">
        <v>242810</v>
      </c>
      <c r="D146" s="270">
        <v>239900</v>
      </c>
      <c r="E146">
        <v>2810</v>
      </c>
      <c r="F146" s="137">
        <v>1.17E-2</v>
      </c>
      <c r="G146" s="203">
        <v>44262</v>
      </c>
      <c r="H146" t="s">
        <v>6796</v>
      </c>
      <c r="I146" s="40" t="s">
        <v>6686</v>
      </c>
      <c r="L146" s="40" t="str">
        <f t="shared" si="2"/>
        <v>USD,20210307,242800,242810,239850,239900,1,1,1</v>
      </c>
    </row>
    <row r="147" spans="1:12">
      <c r="A147" s="270">
        <v>246580</v>
      </c>
      <c r="B147" s="270">
        <v>242700</v>
      </c>
      <c r="C147" s="270">
        <v>246770</v>
      </c>
      <c r="D147" s="270">
        <v>242710</v>
      </c>
      <c r="E147">
        <v>3900</v>
      </c>
      <c r="F147" s="137">
        <v>1.61E-2</v>
      </c>
      <c r="G147" s="203">
        <v>44261</v>
      </c>
      <c r="H147" t="s">
        <v>6797</v>
      </c>
      <c r="I147" s="40" t="s">
        <v>6686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6798</v>
      </c>
      <c r="I148" s="40" t="s">
        <v>6686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6799</v>
      </c>
      <c r="I149" s="40" t="s">
        <v>6686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6800</v>
      </c>
      <c r="I150" s="40" t="s">
        <v>6686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6801</v>
      </c>
      <c r="I151" s="40" t="s">
        <v>6686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6802</v>
      </c>
      <c r="I152" s="40" t="s">
        <v>6686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6803</v>
      </c>
      <c r="I153" s="40" t="s">
        <v>6686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6804</v>
      </c>
      <c r="I154" s="40" t="s">
        <v>6686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6805</v>
      </c>
      <c r="I155" s="40" t="s">
        <v>6686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6806</v>
      </c>
      <c r="I156" s="40" t="s">
        <v>6686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6807</v>
      </c>
      <c r="I157" s="40" t="s">
        <v>6686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6808</v>
      </c>
      <c r="I158" s="40" t="s">
        <v>6686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6809</v>
      </c>
      <c r="I159" s="40" t="s">
        <v>6686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6810</v>
      </c>
      <c r="I160" s="40" t="s">
        <v>6686</v>
      </c>
      <c r="L160" s="40" t="str">
        <f t="shared" si="2"/>
        <v>USD,20210217,249780,251850,249740,251750,1,1,1</v>
      </c>
    </row>
    <row r="161" spans="1:12">
      <c r="A161" s="270">
        <v>249820</v>
      </c>
      <c r="B161" s="270">
        <v>249740</v>
      </c>
      <c r="C161" s="270">
        <v>249850</v>
      </c>
      <c r="D161" s="270">
        <v>249740</v>
      </c>
      <c r="E161" t="s">
        <v>6680</v>
      </c>
      <c r="F161" t="s">
        <v>6680</v>
      </c>
      <c r="G161" s="203">
        <v>44243</v>
      </c>
      <c r="H161" t="s">
        <v>6811</v>
      </c>
      <c r="I161" s="40" t="s">
        <v>6686</v>
      </c>
      <c r="L161" s="40" t="str">
        <f t="shared" si="2"/>
        <v>USD,20210216,249820,249850,249740,249740,1,1,1</v>
      </c>
    </row>
    <row r="162" spans="1:12">
      <c r="A162" s="270">
        <v>249780</v>
      </c>
      <c r="B162" s="270">
        <v>249740</v>
      </c>
      <c r="C162" s="270">
        <v>249850</v>
      </c>
      <c r="D162" s="270">
        <v>249740</v>
      </c>
      <c r="E162">
        <v>30</v>
      </c>
      <c r="F162" s="137">
        <v>1E-4</v>
      </c>
      <c r="G162" s="203">
        <v>44242</v>
      </c>
      <c r="H162" t="s">
        <v>6812</v>
      </c>
      <c r="I162" s="40" t="s">
        <v>6686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6813</v>
      </c>
      <c r="I163" s="40" t="s">
        <v>6686</v>
      </c>
      <c r="L163" s="40" t="str">
        <f t="shared" si="2"/>
        <v>USD,20210214,249830,249850,249740,249770,1,1,1</v>
      </c>
    </row>
    <row r="164" spans="1:12">
      <c r="A164" s="270">
        <v>247040</v>
      </c>
      <c r="B164" s="270">
        <v>246940</v>
      </c>
      <c r="C164" s="270">
        <v>249850</v>
      </c>
      <c r="D164" s="270">
        <v>249810</v>
      </c>
      <c r="E164">
        <v>2850</v>
      </c>
      <c r="F164" s="137">
        <v>1.15E-2</v>
      </c>
      <c r="G164" s="203">
        <v>44240</v>
      </c>
      <c r="H164" t="s">
        <v>6814</v>
      </c>
      <c r="I164" s="40" t="s">
        <v>6686</v>
      </c>
      <c r="L164" s="40" t="str">
        <f t="shared" si="2"/>
        <v>USD,20210213,247040,249850,246940,249810,1,1,1</v>
      </c>
    </row>
    <row r="165" spans="1:12">
      <c r="A165" s="270">
        <v>245960</v>
      </c>
      <c r="B165" s="270">
        <v>245940</v>
      </c>
      <c r="C165" s="270">
        <v>247050</v>
      </c>
      <c r="D165" s="270">
        <v>246960</v>
      </c>
      <c r="E165">
        <v>5930</v>
      </c>
      <c r="F165" s="137">
        <v>2.46E-2</v>
      </c>
      <c r="G165" s="203">
        <v>44238</v>
      </c>
      <c r="H165" t="s">
        <v>6815</v>
      </c>
      <c r="I165" s="40" t="s">
        <v>6686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6816</v>
      </c>
      <c r="I166" s="40" t="s">
        <v>6686</v>
      </c>
      <c r="L166" s="40" t="str">
        <f t="shared" si="2"/>
        <v>USD,20210209,238970,241050,238940,241030,1,1,1</v>
      </c>
    </row>
    <row r="167" spans="1:12">
      <c r="A167" s="270">
        <v>237050</v>
      </c>
      <c r="B167" s="270">
        <v>236940</v>
      </c>
      <c r="C167" s="270">
        <v>237050</v>
      </c>
      <c r="D167" s="270">
        <v>236940</v>
      </c>
      <c r="E167">
        <v>20</v>
      </c>
      <c r="F167" s="137">
        <v>1E-4</v>
      </c>
      <c r="G167" s="203">
        <v>44235</v>
      </c>
      <c r="H167" t="s">
        <v>6817</v>
      </c>
      <c r="I167" s="40" t="s">
        <v>6686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6818</v>
      </c>
      <c r="I168" s="40" t="s">
        <v>6686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6819</v>
      </c>
      <c r="I169" s="40" t="s">
        <v>6686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6820</v>
      </c>
      <c r="I170" s="40" t="s">
        <v>6686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6821</v>
      </c>
      <c r="I171" s="40" t="s">
        <v>6686</v>
      </c>
      <c r="L171" s="40" t="str">
        <f t="shared" si="2"/>
        <v>USD,20210203,238680,238750,237640,237660,1,1,1</v>
      </c>
    </row>
    <row r="172" spans="1:12">
      <c r="A172" s="270">
        <v>238650</v>
      </c>
      <c r="B172" s="270">
        <v>238640</v>
      </c>
      <c r="C172" s="270">
        <v>238750</v>
      </c>
      <c r="D172" s="270">
        <v>238710</v>
      </c>
      <c r="E172">
        <v>10</v>
      </c>
      <c r="F172" t="s">
        <v>6680</v>
      </c>
      <c r="G172" s="203">
        <v>44229</v>
      </c>
      <c r="H172" t="s">
        <v>6822</v>
      </c>
      <c r="I172" s="40" t="s">
        <v>6686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6823</v>
      </c>
      <c r="I173" s="40" t="s">
        <v>6686</v>
      </c>
      <c r="L173" s="40" t="str">
        <f t="shared" si="2"/>
        <v>USD,20210201,239170,239170,238640,238720,1,1,1</v>
      </c>
    </row>
    <row r="174" spans="1:12">
      <c r="A174" s="270">
        <v>237180</v>
      </c>
      <c r="B174" s="270">
        <v>237140</v>
      </c>
      <c r="C174" s="270">
        <v>239250</v>
      </c>
      <c r="D174" s="270">
        <v>239210</v>
      </c>
      <c r="E174">
        <v>2040</v>
      </c>
      <c r="F174" s="137">
        <v>8.6E-3</v>
      </c>
      <c r="G174" s="203">
        <v>44227</v>
      </c>
      <c r="H174" t="s">
        <v>6824</v>
      </c>
      <c r="I174" s="40" t="s">
        <v>6686</v>
      </c>
      <c r="L174" s="40" t="str">
        <f t="shared" si="2"/>
        <v>USD,20210131,237180,239250,237140,239210,1,1,1</v>
      </c>
    </row>
    <row r="175" spans="1:12">
      <c r="A175" s="270">
        <v>232050</v>
      </c>
      <c r="B175" s="270">
        <v>232040</v>
      </c>
      <c r="C175" s="270">
        <v>237250</v>
      </c>
      <c r="D175" s="270">
        <v>237170</v>
      </c>
      <c r="E175">
        <v>5060</v>
      </c>
      <c r="F175" s="137">
        <v>2.18E-2</v>
      </c>
      <c r="G175" s="203">
        <v>44226</v>
      </c>
      <c r="H175" t="s">
        <v>6825</v>
      </c>
      <c r="I175" s="40" t="s">
        <v>6686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6826</v>
      </c>
      <c r="I176" s="40" t="s">
        <v>6686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6827</v>
      </c>
      <c r="I177" s="40" t="s">
        <v>6686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6828</v>
      </c>
      <c r="I178" s="40" t="s">
        <v>6686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6829</v>
      </c>
      <c r="I179" s="40" t="s">
        <v>6686</v>
      </c>
      <c r="L179" s="40" t="str">
        <f t="shared" si="2"/>
        <v>USD,20210125,224250,229750,224240,229660,1,1,1</v>
      </c>
    </row>
    <row r="180" spans="1:12">
      <c r="A180" s="270">
        <v>224340</v>
      </c>
      <c r="B180" s="270">
        <v>224240</v>
      </c>
      <c r="C180" s="270">
        <v>224350</v>
      </c>
      <c r="D180" s="270">
        <v>224340</v>
      </c>
      <c r="E180">
        <v>20</v>
      </c>
      <c r="F180" s="137">
        <v>1E-4</v>
      </c>
      <c r="G180" s="203">
        <v>44220</v>
      </c>
      <c r="H180" t="s">
        <v>6830</v>
      </c>
      <c r="I180" s="40" t="s">
        <v>6686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6831</v>
      </c>
      <c r="I181" s="40" t="s">
        <v>6686</v>
      </c>
      <c r="L181" s="40" t="str">
        <f t="shared" si="2"/>
        <v>USD,20210123,226530,226530,224240,224320,1,1,1</v>
      </c>
    </row>
    <row r="182" spans="1:12">
      <c r="A182" s="270">
        <v>226510</v>
      </c>
      <c r="B182" s="270">
        <v>226440</v>
      </c>
      <c r="C182" s="270">
        <v>226550</v>
      </c>
      <c r="D182" s="270">
        <v>226550</v>
      </c>
      <c r="E182">
        <v>970</v>
      </c>
      <c r="F182" s="137">
        <v>4.3E-3</v>
      </c>
      <c r="G182" s="203">
        <v>44217</v>
      </c>
      <c r="H182" t="s">
        <v>6832</v>
      </c>
      <c r="I182" s="40" t="s">
        <v>6686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6833</v>
      </c>
      <c r="I183" s="40" t="s">
        <v>6686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6834</v>
      </c>
      <c r="I184" s="40" t="s">
        <v>6686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6835</v>
      </c>
      <c r="I185" s="40" t="s">
        <v>6686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6836</v>
      </c>
      <c r="I186" s="40" t="s">
        <v>6686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6837</v>
      </c>
      <c r="I187" s="40" t="s">
        <v>6686</v>
      </c>
      <c r="L187" s="40" t="str">
        <f t="shared" si="2"/>
        <v>USD,20210114,242870,242950,239440,239530,1,1,1</v>
      </c>
    </row>
    <row r="188" spans="1:12">
      <c r="A188" s="270">
        <v>248520</v>
      </c>
      <c r="B188" s="270">
        <v>244940</v>
      </c>
      <c r="C188" s="270">
        <v>248550</v>
      </c>
      <c r="D188" s="270">
        <v>244980</v>
      </c>
      <c r="E188">
        <v>3460</v>
      </c>
      <c r="F188" s="137">
        <v>1.41E-2</v>
      </c>
      <c r="G188" s="203">
        <v>44209</v>
      </c>
      <c r="H188" t="s">
        <v>6838</v>
      </c>
      <c r="I188" s="40" t="s">
        <v>6686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6839</v>
      </c>
      <c r="I189" s="40" t="s">
        <v>6686</v>
      </c>
      <c r="L189" s="40" t="str">
        <f t="shared" si="2"/>
        <v>USD,20210112,248540,248550,248440,248440,1,1,1</v>
      </c>
    </row>
    <row r="190" spans="1:12">
      <c r="A190" s="270">
        <v>248450</v>
      </c>
      <c r="B190" s="270">
        <v>248440</v>
      </c>
      <c r="C190" s="270">
        <v>249550</v>
      </c>
      <c r="D190" s="270">
        <v>248490</v>
      </c>
      <c r="E190">
        <v>30</v>
      </c>
      <c r="F190" s="137">
        <v>1E-4</v>
      </c>
      <c r="G190" s="203">
        <v>44207</v>
      </c>
      <c r="H190" t="s">
        <v>6840</v>
      </c>
      <c r="I190" s="40" t="s">
        <v>6686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6841</v>
      </c>
      <c r="I191" s="40" t="s">
        <v>6686</v>
      </c>
      <c r="L191" s="40" t="str">
        <f t="shared" si="2"/>
        <v>USD,20210110,248690,248690,245840,248520,1,1,1</v>
      </c>
    </row>
    <row r="192" spans="1:12">
      <c r="A192" s="270">
        <v>255550</v>
      </c>
      <c r="B192" s="270">
        <v>248640</v>
      </c>
      <c r="C192" s="270">
        <v>255550</v>
      </c>
      <c r="D192" s="270">
        <v>248660</v>
      </c>
      <c r="E192">
        <v>6850</v>
      </c>
      <c r="F192" s="137">
        <v>2.75E-2</v>
      </c>
      <c r="G192" s="203">
        <v>44205</v>
      </c>
      <c r="H192" t="s">
        <v>6842</v>
      </c>
      <c r="I192" s="40" t="s">
        <v>6686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6843</v>
      </c>
      <c r="I193" s="40" t="s">
        <v>6686</v>
      </c>
      <c r="L193" s="40" t="str">
        <f t="shared" si="2"/>
        <v>USD,20210107,257530,257550,255440,255510,1,1,1</v>
      </c>
    </row>
    <row r="194" spans="1:12">
      <c r="A194" s="270">
        <v>259030</v>
      </c>
      <c r="B194" s="270">
        <v>258440</v>
      </c>
      <c r="C194" s="270">
        <v>259050</v>
      </c>
      <c r="D194" s="270">
        <v>258540</v>
      </c>
      <c r="E194">
        <v>480</v>
      </c>
      <c r="F194" s="137">
        <v>1.9E-3</v>
      </c>
      <c r="G194" s="203">
        <v>44202</v>
      </c>
      <c r="H194" t="s">
        <v>6844</v>
      </c>
      <c r="I194" s="40" t="s">
        <v>6686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6845</v>
      </c>
      <c r="I195" s="40" t="s">
        <v>6686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6686</v>
      </c>
      <c r="L196" s="40" t="str">
        <f t="shared" si="2"/>
        <v>USD,20210104,255650,257750,255640,257640,1,1,1</v>
      </c>
    </row>
    <row r="197" spans="1:12">
      <c r="A197" s="270">
        <v>256160</v>
      </c>
      <c r="B197" s="270">
        <v>255640</v>
      </c>
      <c r="C197" s="270">
        <v>256250</v>
      </c>
      <c r="D197" s="270">
        <v>255670</v>
      </c>
      <c r="E197">
        <v>520</v>
      </c>
      <c r="F197" s="137">
        <v>2E-3</v>
      </c>
      <c r="G197" s="203">
        <v>44199</v>
      </c>
      <c r="H197" t="s">
        <v>6846</v>
      </c>
      <c r="I197" s="40" t="s">
        <v>6686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6847</v>
      </c>
      <c r="I198" s="40" t="s">
        <v>6686</v>
      </c>
      <c r="L198" s="40" t="str">
        <f t="shared" si="3"/>
        <v>USD,20210102,256990,257050,256140,256190,1,1,1</v>
      </c>
    </row>
    <row r="199" spans="1:12">
      <c r="A199" s="270">
        <v>257020</v>
      </c>
      <c r="B199" s="270">
        <v>256940</v>
      </c>
      <c r="C199" s="270">
        <v>257050</v>
      </c>
      <c r="D199" s="270">
        <v>257010</v>
      </c>
      <c r="E199">
        <v>30</v>
      </c>
      <c r="F199" s="137">
        <v>1E-4</v>
      </c>
      <c r="G199" s="203">
        <v>44196</v>
      </c>
      <c r="H199" t="s">
        <v>6848</v>
      </c>
      <c r="I199" s="40" t="s">
        <v>6686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6849</v>
      </c>
      <c r="I200" s="40" t="s">
        <v>6686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6850</v>
      </c>
      <c r="I201" s="40" t="s">
        <v>6686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6851</v>
      </c>
      <c r="I202" s="40" t="s">
        <v>6686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6852</v>
      </c>
      <c r="I203" s="40" t="s">
        <v>6686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6853</v>
      </c>
      <c r="I204" s="40" t="s">
        <v>6686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6854</v>
      </c>
      <c r="I205" s="40" t="s">
        <v>6686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6855</v>
      </c>
      <c r="I206" s="40" t="s">
        <v>6686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6856</v>
      </c>
      <c r="I207" s="40" t="s">
        <v>6686</v>
      </c>
      <c r="L207" s="40" t="str">
        <f t="shared" si="3"/>
        <v>USD,20201222,254460,255250,254440,255160,1,1,1</v>
      </c>
    </row>
    <row r="208" spans="1:12">
      <c r="A208" s="270">
        <v>253940</v>
      </c>
      <c r="B208" s="270">
        <v>252940</v>
      </c>
      <c r="C208" s="270">
        <v>254550</v>
      </c>
      <c r="D208" s="270">
        <v>254470</v>
      </c>
      <c r="E208">
        <v>510</v>
      </c>
      <c r="F208" s="137">
        <v>2E-3</v>
      </c>
      <c r="G208" s="203">
        <v>44186</v>
      </c>
      <c r="H208" t="s">
        <v>6857</v>
      </c>
      <c r="I208" s="40" t="s">
        <v>6686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6858</v>
      </c>
      <c r="I210" s="40" t="s">
        <v>6686</v>
      </c>
      <c r="L210" s="40" t="str">
        <f t="shared" si="3"/>
        <v>USD,20201219,257440,257550,254940,254990,1,1,1</v>
      </c>
    </row>
    <row r="211" spans="1:12">
      <c r="A211" s="270">
        <v>258040</v>
      </c>
      <c r="B211" s="270">
        <v>257940</v>
      </c>
      <c r="C211" s="270">
        <v>258050</v>
      </c>
      <c r="D211" s="270">
        <v>258020</v>
      </c>
      <c r="E211">
        <v>10</v>
      </c>
      <c r="F211" t="s">
        <v>6680</v>
      </c>
      <c r="G211" s="203">
        <v>44182</v>
      </c>
      <c r="H211" t="s">
        <v>6859</v>
      </c>
      <c r="I211" s="40" t="s">
        <v>6686</v>
      </c>
      <c r="L211" s="40" t="str">
        <f t="shared" si="3"/>
        <v>USD,20201217,258040,258050,257940,258020,1,1,1</v>
      </c>
    </row>
    <row r="212" spans="1:12">
      <c r="A212" s="270">
        <v>258480</v>
      </c>
      <c r="B212" s="270">
        <v>257940</v>
      </c>
      <c r="C212" s="270">
        <v>259550</v>
      </c>
      <c r="D212" s="270">
        <v>258030</v>
      </c>
      <c r="E212">
        <v>510</v>
      </c>
      <c r="F212" s="137">
        <v>2E-3</v>
      </c>
      <c r="G212" s="203">
        <v>44181</v>
      </c>
      <c r="H212" t="s">
        <v>6860</v>
      </c>
      <c r="I212" s="40" t="s">
        <v>6686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6862</v>
      </c>
      <c r="I213" s="40" t="s">
        <v>6686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6863</v>
      </c>
      <c r="I214" s="40" t="s">
        <v>6686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6864</v>
      </c>
      <c r="I215" s="40" t="s">
        <v>6686</v>
      </c>
      <c r="L215" s="40" t="str">
        <f t="shared" si="3"/>
        <v>USD,20201213,259960,260050,257940,258040,1,1,1</v>
      </c>
    </row>
    <row r="216" spans="1:12">
      <c r="A216" s="270">
        <v>260750</v>
      </c>
      <c r="B216" s="270">
        <v>259940</v>
      </c>
      <c r="C216" s="270">
        <v>260750</v>
      </c>
      <c r="D216" s="270">
        <v>260050</v>
      </c>
      <c r="E216">
        <v>600</v>
      </c>
      <c r="F216" s="137">
        <v>2.3E-3</v>
      </c>
      <c r="G216" s="203">
        <v>44177</v>
      </c>
      <c r="H216" t="s">
        <v>6865</v>
      </c>
      <c r="I216" s="40" t="s">
        <v>6686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6866</v>
      </c>
      <c r="I217" s="40" t="s">
        <v>6686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6867</v>
      </c>
      <c r="I218" s="40" t="s">
        <v>6686</v>
      </c>
      <c r="L218" s="40" t="str">
        <f t="shared" si="3"/>
        <v>USD,20201209,255970,259850,255940,259770,1,1,1</v>
      </c>
    </row>
    <row r="219" spans="1:12">
      <c r="A219" s="270">
        <v>255980</v>
      </c>
      <c r="B219" s="270">
        <v>255940</v>
      </c>
      <c r="C219" s="270">
        <v>256050</v>
      </c>
      <c r="D219" s="270">
        <v>255940</v>
      </c>
      <c r="E219">
        <v>10</v>
      </c>
      <c r="F219" t="s">
        <v>6680</v>
      </c>
      <c r="G219" s="203">
        <v>44173</v>
      </c>
      <c r="H219" t="s">
        <v>6868</v>
      </c>
      <c r="I219" s="40" t="s">
        <v>6686</v>
      </c>
      <c r="L219" s="40" t="str">
        <f t="shared" si="3"/>
        <v>USD,20201208,255980,256050,255940,255940,1,1,1</v>
      </c>
    </row>
    <row r="220" spans="1:12">
      <c r="A220" s="270">
        <v>256010</v>
      </c>
      <c r="B220" s="270">
        <v>255940</v>
      </c>
      <c r="C220" s="270">
        <v>256050</v>
      </c>
      <c r="D220" s="270">
        <v>255950</v>
      </c>
      <c r="E220" t="s">
        <v>6680</v>
      </c>
      <c r="F220" t="s">
        <v>6680</v>
      </c>
      <c r="G220" s="203">
        <v>44172</v>
      </c>
      <c r="H220" t="s">
        <v>6869</v>
      </c>
      <c r="I220" s="40" t="s">
        <v>6686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6870</v>
      </c>
      <c r="I221" s="40" t="s">
        <v>6686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6871</v>
      </c>
      <c r="I222" s="40" t="s">
        <v>6686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6872</v>
      </c>
      <c r="I223" s="40" t="s">
        <v>6686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6873</v>
      </c>
      <c r="I224" s="40" t="s">
        <v>6686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6874</v>
      </c>
      <c r="I225" s="40" t="s">
        <v>6686</v>
      </c>
      <c r="L225" s="40" t="str">
        <f t="shared" si="3"/>
        <v>USD,20201201,250070,256270,245160,256160,1,1,1</v>
      </c>
    </row>
    <row r="226" spans="1:12">
      <c r="A226" s="270">
        <v>245490</v>
      </c>
      <c r="B226" s="270">
        <v>245460</v>
      </c>
      <c r="C226" s="270">
        <v>253050</v>
      </c>
      <c r="D226" s="270">
        <v>250030</v>
      </c>
      <c r="E226">
        <v>4520</v>
      </c>
      <c r="F226" s="137">
        <v>1.84E-2</v>
      </c>
      <c r="G226" s="203">
        <v>44165</v>
      </c>
      <c r="H226" t="s">
        <v>6875</v>
      </c>
      <c r="I226" s="40" t="s">
        <v>6686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6876</v>
      </c>
      <c r="I227" s="40" t="s">
        <v>6686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6877</v>
      </c>
      <c r="I228" s="40" t="s">
        <v>6686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6878</v>
      </c>
      <c r="I229" s="40" t="s">
        <v>6686</v>
      </c>
      <c r="L229" s="40" t="str">
        <f t="shared" si="3"/>
        <v>USD,20201126,248500,248570,247460,247570,1,1,1</v>
      </c>
    </row>
    <row r="230" spans="1:12">
      <c r="A230" s="270">
        <v>250490</v>
      </c>
      <c r="B230" s="270">
        <v>249500</v>
      </c>
      <c r="C230" s="270">
        <v>250570</v>
      </c>
      <c r="D230" s="270">
        <v>249500</v>
      </c>
      <c r="E230">
        <v>960</v>
      </c>
      <c r="F230" s="137">
        <v>3.8E-3</v>
      </c>
      <c r="G230" s="203">
        <v>44160</v>
      </c>
      <c r="H230" t="s">
        <v>6879</v>
      </c>
      <c r="I230" s="40" t="s">
        <v>6686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6880</v>
      </c>
      <c r="I231" s="40" t="s">
        <v>6686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6881</v>
      </c>
      <c r="I232" s="40" t="s">
        <v>6686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6861</v>
      </c>
      <c r="I233" s="40" t="s">
        <v>6686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6882</v>
      </c>
      <c r="I234" s="40" t="s">
        <v>6686</v>
      </c>
      <c r="L234" s="40" t="str">
        <f t="shared" si="3"/>
        <v>USD,20201121,256250,260560,256150,259550,1,1,1</v>
      </c>
    </row>
    <row r="235" spans="1:12">
      <c r="A235" s="270">
        <v>256170</v>
      </c>
      <c r="B235" s="270">
        <v>256150</v>
      </c>
      <c r="C235" s="270">
        <v>256260</v>
      </c>
      <c r="D235" s="270">
        <v>256200</v>
      </c>
      <c r="E235">
        <v>20</v>
      </c>
      <c r="F235" s="137">
        <v>1E-4</v>
      </c>
      <c r="G235" s="203">
        <v>44154</v>
      </c>
      <c r="H235" t="s">
        <v>6883</v>
      </c>
      <c r="I235" s="40" t="s">
        <v>6686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6884</v>
      </c>
      <c r="I236" s="40" t="s">
        <v>6686</v>
      </c>
      <c r="L236" s="40" t="str">
        <f t="shared" si="3"/>
        <v>USD,20201118,259020,259020,256150,256220,1,1,1</v>
      </c>
    </row>
    <row r="237" spans="1:12">
      <c r="A237" s="270">
        <v>258960</v>
      </c>
      <c r="B237" s="270">
        <v>258950</v>
      </c>
      <c r="C237" s="270">
        <v>262060</v>
      </c>
      <c r="D237" s="270">
        <v>258970</v>
      </c>
      <c r="E237">
        <v>10</v>
      </c>
      <c r="F237" t="s">
        <v>6680</v>
      </c>
      <c r="G237" s="203">
        <v>44152</v>
      </c>
      <c r="H237" t="s">
        <v>6885</v>
      </c>
      <c r="I237" s="40" t="s">
        <v>6686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6886</v>
      </c>
      <c r="I238" s="40" t="s">
        <v>6686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6887</v>
      </c>
      <c r="I239" s="40" t="s">
        <v>6686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6888</v>
      </c>
      <c r="I240" s="40" t="s">
        <v>6686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6889</v>
      </c>
      <c r="I241" s="40" t="s">
        <v>6686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6890</v>
      </c>
      <c r="I242" s="40" t="s">
        <v>6686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6891</v>
      </c>
      <c r="I243" s="40" t="s">
        <v>6686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6892</v>
      </c>
      <c r="I244" s="40" t="s">
        <v>6686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6893</v>
      </c>
      <c r="I245" s="40" t="s">
        <v>6686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6894</v>
      </c>
      <c r="I246" s="40" t="s">
        <v>6686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6895</v>
      </c>
      <c r="I247" s="40" t="s">
        <v>6686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6896</v>
      </c>
      <c r="I248" s="40" t="s">
        <v>6686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6897</v>
      </c>
      <c r="I249" s="40" t="s">
        <v>6686</v>
      </c>
      <c r="L249" s="40" t="str">
        <f t="shared" si="3"/>
        <v>USD,20201102,272020,282460,271950,282420,1,1,1</v>
      </c>
    </row>
    <row r="250" spans="1:12">
      <c r="A250" s="270">
        <v>268670</v>
      </c>
      <c r="B250" s="270">
        <v>266950</v>
      </c>
      <c r="C250" s="270">
        <v>272060</v>
      </c>
      <c r="D250" s="270">
        <v>272060</v>
      </c>
      <c r="E250">
        <v>3340</v>
      </c>
      <c r="F250" s="137">
        <v>1.24E-2</v>
      </c>
      <c r="G250" s="203">
        <v>44136</v>
      </c>
      <c r="H250" t="s">
        <v>6898</v>
      </c>
      <c r="I250" s="40" t="s">
        <v>6686</v>
      </c>
      <c r="L250" s="40" t="str">
        <f t="shared" si="3"/>
        <v>USD,20201101,268670,272060,266950,272060,1,1,1</v>
      </c>
    </row>
    <row r="251" spans="1:12">
      <c r="A251" s="270">
        <v>277260</v>
      </c>
      <c r="B251" s="270">
        <v>268650</v>
      </c>
      <c r="C251" s="270">
        <v>277260</v>
      </c>
      <c r="D251" s="270">
        <v>268720</v>
      </c>
      <c r="E251">
        <v>8780</v>
      </c>
      <c r="F251" s="137">
        <v>3.27E-2</v>
      </c>
      <c r="G251" s="203">
        <v>44135</v>
      </c>
      <c r="H251" t="s">
        <v>6899</v>
      </c>
      <c r="I251" s="40" t="s">
        <v>6686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6900</v>
      </c>
      <c r="I252" s="40" t="s">
        <v>6686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6901</v>
      </c>
      <c r="I253" s="40" t="s">
        <v>6686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6902</v>
      </c>
      <c r="I254" s="40" t="s">
        <v>6686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6903</v>
      </c>
      <c r="I255" s="40" t="s">
        <v>6686</v>
      </c>
      <c r="L255" s="40" t="str">
        <f t="shared" si="3"/>
        <v>USD,20201026,289960,289990,279750,279860,1,1,1</v>
      </c>
    </row>
    <row r="256" spans="1:12">
      <c r="A256" s="270">
        <v>293820</v>
      </c>
      <c r="B256" s="270">
        <v>289950</v>
      </c>
      <c r="C256" s="270">
        <v>293860</v>
      </c>
      <c r="D256" s="270">
        <v>290000</v>
      </c>
      <c r="E256">
        <v>3750</v>
      </c>
      <c r="F256" s="137">
        <v>1.29E-2</v>
      </c>
      <c r="G256" s="203">
        <v>44128</v>
      </c>
      <c r="H256" t="s">
        <v>6904</v>
      </c>
      <c r="I256" s="40" t="s">
        <v>6686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6905</v>
      </c>
      <c r="I257" s="40" t="s">
        <v>6686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6906</v>
      </c>
      <c r="I258" s="40" t="s">
        <v>6686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6907</v>
      </c>
      <c r="I259" s="40" t="s">
        <v>6686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6908</v>
      </c>
      <c r="I260" s="40" t="s">
        <v>6686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6909</v>
      </c>
      <c r="I261" s="40" t="s">
        <v>6686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6910</v>
      </c>
      <c r="I262" s="40" t="s">
        <v>6686</v>
      </c>
      <c r="L262" s="40" t="str">
        <f t="shared" si="4"/>
        <v>USD,20201015,317000,317060,316950,317040,1,1,1</v>
      </c>
    </row>
    <row r="263" spans="1:12">
      <c r="A263" s="270">
        <v>312990</v>
      </c>
      <c r="B263" s="270">
        <v>312950</v>
      </c>
      <c r="C263" s="270">
        <v>315860</v>
      </c>
      <c r="D263" s="270">
        <v>315000</v>
      </c>
      <c r="E263">
        <v>1980</v>
      </c>
      <c r="F263" s="137">
        <v>6.3E-3</v>
      </c>
      <c r="G263" s="203">
        <v>44118</v>
      </c>
      <c r="H263" t="s">
        <v>6911</v>
      </c>
      <c r="I263" s="40" t="s">
        <v>6686</v>
      </c>
      <c r="L263" s="40" t="str">
        <f t="shared" si="4"/>
        <v>USD,20201014,312990,315860,312950,315000,1,1,1</v>
      </c>
    </row>
    <row r="264" spans="1:12">
      <c r="A264" s="270">
        <v>304040</v>
      </c>
      <c r="B264" s="270">
        <v>303950</v>
      </c>
      <c r="C264" s="270">
        <v>315060</v>
      </c>
      <c r="D264" s="270">
        <v>313020</v>
      </c>
      <c r="E264">
        <v>9060</v>
      </c>
      <c r="F264" s="137">
        <v>2.98E-2</v>
      </c>
      <c r="G264" s="203">
        <v>44117</v>
      </c>
      <c r="H264" t="s">
        <v>6912</v>
      </c>
      <c r="I264" s="40" t="s">
        <v>6686</v>
      </c>
      <c r="L264" s="40" t="str">
        <f t="shared" si="4"/>
        <v>USD,20201013,304040,315060,303950,313020,1,1,1</v>
      </c>
    </row>
    <row r="265" spans="1:12">
      <c r="A265" s="270">
        <v>311520</v>
      </c>
      <c r="B265" s="270">
        <v>301950</v>
      </c>
      <c r="C265" s="270">
        <v>311560</v>
      </c>
      <c r="D265" s="270">
        <v>303960</v>
      </c>
      <c r="E265">
        <v>7490</v>
      </c>
      <c r="F265" s="137">
        <v>2.46E-2</v>
      </c>
      <c r="G265" s="203">
        <v>44116</v>
      </c>
      <c r="H265" t="s">
        <v>6913</v>
      </c>
      <c r="I265" s="40" t="s">
        <v>6686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6914</v>
      </c>
      <c r="I266" s="40" t="s">
        <v>6686</v>
      </c>
      <c r="L266" s="40" t="str">
        <f t="shared" si="4"/>
        <v>USD,20201011,299480,311560,299450,311450,1,1,1</v>
      </c>
    </row>
    <row r="267" spans="1:12">
      <c r="A267" s="270">
        <v>291970</v>
      </c>
      <c r="B267" s="270">
        <v>291950</v>
      </c>
      <c r="C267" s="270">
        <v>299560</v>
      </c>
      <c r="D267" s="270">
        <v>299560</v>
      </c>
      <c r="E267">
        <v>7540</v>
      </c>
      <c r="F267" s="137">
        <v>2.58E-2</v>
      </c>
      <c r="G267" s="203">
        <v>44114</v>
      </c>
      <c r="H267" t="s">
        <v>6915</v>
      </c>
      <c r="I267" s="40" t="s">
        <v>6686</v>
      </c>
      <c r="L267" s="40" t="str">
        <f t="shared" si="4"/>
        <v>USD,20201010,291970,299560,291950,299560,1,1,1</v>
      </c>
    </row>
    <row r="268" spans="1:12">
      <c r="A268" s="270">
        <v>291990</v>
      </c>
      <c r="B268" s="270">
        <v>291950</v>
      </c>
      <c r="C268" s="270">
        <v>292060</v>
      </c>
      <c r="D268" s="270">
        <v>292020</v>
      </c>
      <c r="E268">
        <v>20</v>
      </c>
      <c r="F268" s="137">
        <v>1E-4</v>
      </c>
      <c r="G268" s="203">
        <v>44111</v>
      </c>
      <c r="H268" t="s">
        <v>6916</v>
      </c>
      <c r="I268" s="40" t="s">
        <v>6686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6917</v>
      </c>
      <c r="I269" s="40" t="s">
        <v>6686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6918</v>
      </c>
      <c r="I270" s="40" t="s">
        <v>6686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6919</v>
      </c>
      <c r="I271" s="40" t="s">
        <v>6686</v>
      </c>
      <c r="L271" s="40" t="str">
        <f t="shared" si="4"/>
        <v>USD,20201004,284550,284560,269950,269950,1,1,1</v>
      </c>
    </row>
    <row r="272" spans="1:12">
      <c r="A272" s="270">
        <v>289030</v>
      </c>
      <c r="B272" s="270">
        <v>284450</v>
      </c>
      <c r="C272" s="270">
        <v>289060</v>
      </c>
      <c r="D272" s="270">
        <v>284490</v>
      </c>
      <c r="E272">
        <v>4550</v>
      </c>
      <c r="F272" s="137">
        <v>1.6E-2</v>
      </c>
      <c r="G272" s="203">
        <v>44107</v>
      </c>
      <c r="H272" t="s">
        <v>6920</v>
      </c>
      <c r="I272" s="40" t="s">
        <v>6686</v>
      </c>
      <c r="L272" s="40" t="str">
        <f t="shared" si="4"/>
        <v>USD,20201003,289030,289060,284450,284490,1,1,1</v>
      </c>
    </row>
    <row r="273" spans="1:12">
      <c r="A273" s="270">
        <v>287990</v>
      </c>
      <c r="B273" s="270">
        <v>287990</v>
      </c>
      <c r="C273" s="270">
        <v>289060</v>
      </c>
      <c r="D273" s="270">
        <v>289040</v>
      </c>
      <c r="E273">
        <v>1520</v>
      </c>
      <c r="F273" s="137">
        <v>5.3E-3</v>
      </c>
      <c r="G273" s="203">
        <v>44105</v>
      </c>
      <c r="H273" t="s">
        <v>6922</v>
      </c>
      <c r="I273" s="40" t="s">
        <v>6686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6923</v>
      </c>
      <c r="I274" s="40" t="s">
        <v>6686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6924</v>
      </c>
      <c r="I275" s="40" t="s">
        <v>6686</v>
      </c>
      <c r="L275" s="40" t="str">
        <f t="shared" si="4"/>
        <v>USD,20200929,289450,289560,284950,285020,1,1,1</v>
      </c>
    </row>
    <row r="276" spans="1:12">
      <c r="A276" s="270">
        <v>287060</v>
      </c>
      <c r="B276" s="270">
        <v>286950</v>
      </c>
      <c r="C276" s="270">
        <v>289560</v>
      </c>
      <c r="D276" s="270">
        <v>289470</v>
      </c>
      <c r="E276">
        <v>2470</v>
      </c>
      <c r="F276" s="137">
        <v>8.6E-3</v>
      </c>
      <c r="G276" s="203">
        <v>44102</v>
      </c>
      <c r="H276" t="s">
        <v>6925</v>
      </c>
      <c r="I276" s="40" t="s">
        <v>6686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6926</v>
      </c>
      <c r="I277" s="40" t="s">
        <v>6686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6927</v>
      </c>
      <c r="I278" s="40" t="s">
        <v>6686</v>
      </c>
      <c r="L278" s="40" t="str">
        <f t="shared" si="4"/>
        <v>USD,20200926,278030,287560,277950,285060,1,1,1</v>
      </c>
    </row>
    <row r="279" spans="1:12">
      <c r="A279" s="270">
        <v>278000</v>
      </c>
      <c r="B279" s="270">
        <v>277950</v>
      </c>
      <c r="C279" s="270">
        <v>278060</v>
      </c>
      <c r="D279" s="270">
        <v>277970</v>
      </c>
      <c r="E279">
        <v>10</v>
      </c>
      <c r="F279" t="s">
        <v>6680</v>
      </c>
      <c r="G279" s="203">
        <v>44098</v>
      </c>
      <c r="H279" t="s">
        <v>6928</v>
      </c>
      <c r="I279" s="40" t="s">
        <v>6686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6929</v>
      </c>
      <c r="I280" s="40" t="s">
        <v>6686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6921</v>
      </c>
      <c r="I281" s="40" t="s">
        <v>6686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6930</v>
      </c>
      <c r="I282" s="40" t="s">
        <v>6686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6931</v>
      </c>
      <c r="I283" s="40" t="s">
        <v>6686</v>
      </c>
      <c r="L283" s="40" t="str">
        <f t="shared" si="4"/>
        <v>USD,20200920,264500,273060,264450,272980,1,1,1</v>
      </c>
    </row>
    <row r="284" spans="1:12">
      <c r="A284" s="270">
        <v>267990</v>
      </c>
      <c r="B284" s="270">
        <v>264450</v>
      </c>
      <c r="C284" s="270">
        <v>268060</v>
      </c>
      <c r="D284" s="270">
        <v>264480</v>
      </c>
      <c r="E284">
        <v>3490</v>
      </c>
      <c r="F284" s="137">
        <v>1.32E-2</v>
      </c>
      <c r="G284" s="203">
        <v>44093</v>
      </c>
      <c r="H284" t="s">
        <v>6932</v>
      </c>
      <c r="I284" s="40" t="s">
        <v>6686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6933</v>
      </c>
      <c r="I285" s="40" t="s">
        <v>6686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6934</v>
      </c>
      <c r="I286" s="40" t="s">
        <v>6686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6935</v>
      </c>
      <c r="I287" s="40" t="s">
        <v>6686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6936</v>
      </c>
      <c r="I289" s="40" t="s">
        <v>6686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6937</v>
      </c>
      <c r="I290" s="40" t="s">
        <v>6686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6938</v>
      </c>
      <c r="I291" s="40" t="s">
        <v>6686</v>
      </c>
      <c r="L291" s="40" t="str">
        <f t="shared" si="4"/>
        <v>USD,20200910,227910,228020,227910,228000,1,1,1</v>
      </c>
    </row>
    <row r="292" spans="1:12">
      <c r="A292" s="270">
        <v>227460</v>
      </c>
      <c r="B292" s="270">
        <v>227410</v>
      </c>
      <c r="C292" s="270">
        <v>227520</v>
      </c>
      <c r="D292" s="270">
        <v>227490</v>
      </c>
      <c r="E292">
        <v>30</v>
      </c>
      <c r="F292" s="137">
        <v>1E-4</v>
      </c>
      <c r="G292" s="203">
        <v>44083</v>
      </c>
      <c r="H292" t="s">
        <v>6939</v>
      </c>
      <c r="I292" s="40" t="s">
        <v>6686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6940</v>
      </c>
      <c r="I293" s="40" t="s">
        <v>6686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6941</v>
      </c>
      <c r="I294" s="40" t="s">
        <v>6686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6942</v>
      </c>
      <c r="I295" s="40" t="s">
        <v>6686</v>
      </c>
      <c r="L295" s="40" t="str">
        <f t="shared" si="4"/>
        <v>USD,20200906,224450,226020,224410,226020,1,1,1</v>
      </c>
    </row>
    <row r="296" spans="1:12">
      <c r="A296" s="270">
        <v>224450</v>
      </c>
      <c r="B296" s="270">
        <v>224410</v>
      </c>
      <c r="C296" s="270">
        <v>224520</v>
      </c>
      <c r="D296" s="270">
        <v>224520</v>
      </c>
      <c r="E296" t="s">
        <v>6680</v>
      </c>
      <c r="F296" t="s">
        <v>6680</v>
      </c>
      <c r="G296" s="203">
        <v>44079</v>
      </c>
      <c r="H296" t="s">
        <v>6943</v>
      </c>
      <c r="I296" s="40" t="s">
        <v>6686</v>
      </c>
      <c r="L296" s="40" t="str">
        <f t="shared" si="4"/>
        <v>USD,20200905,224450,224520,224410,224520,1,1,1</v>
      </c>
    </row>
    <row r="297" spans="1:12">
      <c r="A297" s="270">
        <v>225020</v>
      </c>
      <c r="B297" s="270">
        <v>224410</v>
      </c>
      <c r="C297" s="270">
        <v>225020</v>
      </c>
      <c r="D297" s="270">
        <v>224520</v>
      </c>
      <c r="E297">
        <v>2440</v>
      </c>
      <c r="F297" s="137">
        <v>1.09E-2</v>
      </c>
      <c r="G297" s="203">
        <v>44077</v>
      </c>
      <c r="H297" t="s">
        <v>6944</v>
      </c>
      <c r="I297" s="40" t="s">
        <v>6686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6945</v>
      </c>
      <c r="I298" s="40" t="s">
        <v>6686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6946</v>
      </c>
      <c r="I299" s="40" t="s">
        <v>6686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6947</v>
      </c>
      <c r="I300" s="40" t="s">
        <v>6686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6948</v>
      </c>
      <c r="I301" s="40" t="s">
        <v>6686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6949</v>
      </c>
      <c r="I302" s="40" t="s">
        <v>6686</v>
      </c>
      <c r="L302" s="40" t="str">
        <f t="shared" si="4"/>
        <v>USD,20200827,231020,231020,230910,231020,1,1,1</v>
      </c>
    </row>
    <row r="303" spans="1:12">
      <c r="A303" s="270">
        <v>224710</v>
      </c>
      <c r="B303" s="270">
        <v>224710</v>
      </c>
      <c r="C303" s="270">
        <v>230020</v>
      </c>
      <c r="D303" s="270">
        <v>229960</v>
      </c>
      <c r="E303">
        <v>5170</v>
      </c>
      <c r="F303" s="137">
        <v>2.3E-2</v>
      </c>
      <c r="G303" s="203">
        <v>44069</v>
      </c>
      <c r="H303" t="s">
        <v>6950</v>
      </c>
      <c r="I303" s="40" t="s">
        <v>6686</v>
      </c>
      <c r="L303" s="40" t="str">
        <f t="shared" si="4"/>
        <v>USD,20200826,224710,230020,224710,229960,1,1,1</v>
      </c>
    </row>
    <row r="304" spans="1:12">
      <c r="A304" s="270">
        <v>224790</v>
      </c>
      <c r="B304" s="270">
        <v>224710</v>
      </c>
      <c r="C304" s="270">
        <v>224820</v>
      </c>
      <c r="D304" s="270">
        <v>224790</v>
      </c>
      <c r="E304">
        <v>30</v>
      </c>
      <c r="F304" s="137">
        <v>1E-4</v>
      </c>
      <c r="G304" s="203">
        <v>44068</v>
      </c>
      <c r="H304" t="s">
        <v>6951</v>
      </c>
      <c r="I304" s="40" t="s">
        <v>6686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6952</v>
      </c>
      <c r="I305" s="40" t="s">
        <v>6686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6953</v>
      </c>
      <c r="I306" s="40" t="s">
        <v>6686</v>
      </c>
      <c r="L306" s="40" t="str">
        <f t="shared" si="4"/>
        <v>USD,20200823,224940,225020,224910,224970,1,1,1</v>
      </c>
    </row>
    <row r="307" spans="1:12">
      <c r="A307" s="270">
        <v>224970</v>
      </c>
      <c r="B307" s="270">
        <v>224910</v>
      </c>
      <c r="C307" s="270">
        <v>225020</v>
      </c>
      <c r="D307" s="270">
        <v>225020</v>
      </c>
      <c r="E307" t="s">
        <v>6680</v>
      </c>
      <c r="F307" t="s">
        <v>6680</v>
      </c>
      <c r="G307" s="203">
        <v>44065</v>
      </c>
      <c r="H307" t="s">
        <v>6954</v>
      </c>
      <c r="I307" s="40" t="s">
        <v>6686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6955</v>
      </c>
      <c r="I308" s="40" t="s">
        <v>6686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6956</v>
      </c>
      <c r="I309" s="40" t="s">
        <v>6686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6957</v>
      </c>
      <c r="I310" s="40" t="s">
        <v>6686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6958</v>
      </c>
      <c r="I311" s="40" t="s">
        <v>6686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6959</v>
      </c>
      <c r="I312" s="40" t="s">
        <v>6686</v>
      </c>
      <c r="L312" s="40" t="str">
        <f t="shared" si="4"/>
        <v>USD,20200816,218970,219020,218910,219020,1,1,1</v>
      </c>
    </row>
    <row r="313" spans="1:12">
      <c r="A313" s="270">
        <v>220520</v>
      </c>
      <c r="B313" s="270">
        <v>220410</v>
      </c>
      <c r="C313" s="270">
        <v>220520</v>
      </c>
      <c r="D313" s="270">
        <v>220520</v>
      </c>
      <c r="E313">
        <v>20</v>
      </c>
      <c r="F313" s="137">
        <v>1E-4</v>
      </c>
      <c r="G313" s="203">
        <v>44058</v>
      </c>
      <c r="H313" t="s">
        <v>6960</v>
      </c>
      <c r="I313" s="40" t="s">
        <v>6686</v>
      </c>
      <c r="L313" s="40" t="str">
        <f t="shared" si="4"/>
        <v>USD,20200815,220520,220520,220410,220520,1,1,1</v>
      </c>
    </row>
    <row r="314" spans="1:12">
      <c r="A314" s="270">
        <v>219520</v>
      </c>
      <c r="B314" s="270">
        <v>219410</v>
      </c>
      <c r="C314" s="270">
        <v>220520</v>
      </c>
      <c r="D314" s="270">
        <v>220500</v>
      </c>
      <c r="E314">
        <v>2480</v>
      </c>
      <c r="F314" s="137">
        <v>1.14E-2</v>
      </c>
      <c r="G314" s="203">
        <v>44056</v>
      </c>
      <c r="H314" t="s">
        <v>6961</v>
      </c>
      <c r="I314" s="40" t="s">
        <v>6686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6962</v>
      </c>
      <c r="I315" s="40" t="s">
        <v>6686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6963</v>
      </c>
      <c r="I316" s="40" t="s">
        <v>6686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6964</v>
      </c>
      <c r="I317" s="40" t="s">
        <v>6686</v>
      </c>
      <c r="L317" s="40" t="str">
        <f t="shared" si="4"/>
        <v>USD,20200810,217960,218020,207910,209910,1,1,1</v>
      </c>
    </row>
    <row r="318" spans="1:12">
      <c r="A318" s="270">
        <v>229980</v>
      </c>
      <c r="B318" s="270">
        <v>217910</v>
      </c>
      <c r="C318" s="270">
        <v>230020</v>
      </c>
      <c r="D318" s="270">
        <v>218020</v>
      </c>
      <c r="E318">
        <v>12000</v>
      </c>
      <c r="F318" s="137">
        <v>5.5E-2</v>
      </c>
      <c r="G318" s="203">
        <v>44052</v>
      </c>
      <c r="H318" t="s">
        <v>6965</v>
      </c>
      <c r="I318" s="40" t="s">
        <v>6686</v>
      </c>
      <c r="L318" s="40" t="str">
        <f t="shared" si="4"/>
        <v>USD,20200809,229980,230020,217910,218020,1,1,1</v>
      </c>
    </row>
    <row r="319" spans="1:12">
      <c r="A319" s="270">
        <v>229970</v>
      </c>
      <c r="B319" s="270">
        <v>229910</v>
      </c>
      <c r="C319" s="270">
        <v>230020</v>
      </c>
      <c r="D319" s="270">
        <v>230020</v>
      </c>
      <c r="E319">
        <v>3000</v>
      </c>
      <c r="F319" s="137">
        <v>1.32E-2</v>
      </c>
      <c r="G319" s="203">
        <v>44049</v>
      </c>
      <c r="H319" t="s">
        <v>6966</v>
      </c>
      <c r="I319" s="40" t="s">
        <v>6686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6967</v>
      </c>
      <c r="I321" s="40" t="s">
        <v>6686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6968</v>
      </c>
      <c r="I322" s="40" t="s">
        <v>6686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6969</v>
      </c>
      <c r="I323" s="40" t="s">
        <v>6686</v>
      </c>
      <c r="L323" s="40" t="str">
        <f t="shared" si="4"/>
        <v>USD,20200802,212940,217020,212910,217020,1,1,1</v>
      </c>
    </row>
    <row r="324" spans="1:12">
      <c r="A324" s="270">
        <v>207940</v>
      </c>
      <c r="B324" s="270">
        <v>207910</v>
      </c>
      <c r="C324" s="270">
        <v>213020</v>
      </c>
      <c r="D324" s="270">
        <v>213020</v>
      </c>
      <c r="E324">
        <v>5000</v>
      </c>
      <c r="F324" s="137">
        <v>2.4E-2</v>
      </c>
      <c r="G324" s="203">
        <v>44044</v>
      </c>
      <c r="H324" t="s">
        <v>6970</v>
      </c>
      <c r="I324" s="40" t="s">
        <v>6686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6971</v>
      </c>
      <c r="I325" s="40" t="s">
        <v>6686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6972</v>
      </c>
      <c r="I326" s="40" t="s">
        <v>6686</v>
      </c>
      <c r="L326" s="40" t="str">
        <f t="shared" si="5"/>
        <v>USD,20200729,204930,205020,204910,204990,1,1,1</v>
      </c>
    </row>
    <row r="327" spans="1:12">
      <c r="A327" s="270">
        <v>205020</v>
      </c>
      <c r="B327" s="270">
        <v>204910</v>
      </c>
      <c r="C327" s="270">
        <v>205020</v>
      </c>
      <c r="D327" s="270">
        <v>204920</v>
      </c>
      <c r="E327">
        <v>10</v>
      </c>
      <c r="F327" t="s">
        <v>6680</v>
      </c>
      <c r="G327" s="203">
        <v>44040</v>
      </c>
      <c r="H327" t="s">
        <v>6973</v>
      </c>
      <c r="I327" s="40" t="s">
        <v>6686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6974</v>
      </c>
      <c r="I328" s="40" t="s">
        <v>6686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6975</v>
      </c>
      <c r="I329" s="40" t="s">
        <v>6686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6976</v>
      </c>
      <c r="I330" s="40" t="s">
        <v>6686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6977</v>
      </c>
      <c r="I331" s="40" t="s">
        <v>6686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6978</v>
      </c>
      <c r="I332" s="40" t="s">
        <v>6686</v>
      </c>
      <c r="L332" s="40" t="str">
        <f t="shared" si="5"/>
        <v>USD,20200722,204430,204520,203410,203430,1,1,1</v>
      </c>
    </row>
    <row r="333" spans="1:12">
      <c r="A333" s="270">
        <v>225920</v>
      </c>
      <c r="B333" s="270">
        <v>204410</v>
      </c>
      <c r="C333" s="270">
        <v>226020</v>
      </c>
      <c r="D333" s="270">
        <v>204520</v>
      </c>
      <c r="E333">
        <v>21500</v>
      </c>
      <c r="F333" s="137">
        <v>0.1051</v>
      </c>
      <c r="G333" s="203">
        <v>44033</v>
      </c>
      <c r="H333" t="s">
        <v>6979</v>
      </c>
      <c r="I333" s="40" t="s">
        <v>6686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82" zoomScale="80" zoomScaleNormal="80" workbookViewId="0">
      <selection activeCell="D188" sqref="D18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7028</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7017</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7020</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7031</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7038</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7002</v>
      </c>
      <c r="D179" s="176" t="s">
        <v>7001</v>
      </c>
      <c r="E179" s="436" t="s">
        <v>7003</v>
      </c>
      <c r="F179" s="176" t="s">
        <v>7004</v>
      </c>
      <c r="G179" s="176" t="s">
        <v>6449</v>
      </c>
      <c r="H179" s="176" t="s">
        <v>6487</v>
      </c>
      <c r="I179" s="176" t="s">
        <v>4245</v>
      </c>
      <c r="J179" s="176" t="s">
        <v>4913</v>
      </c>
      <c r="K179" s="176" t="s">
        <v>7000</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2255</v>
      </c>
      <c r="J180" s="427">
        <f t="shared" ref="J180:J192" si="36">B180*I180/$M$180</f>
        <v>789.71754087600004</v>
      </c>
      <c r="K180" s="427">
        <f>I180</f>
        <v>2255</v>
      </c>
      <c r="L180" s="427">
        <f t="shared" ref="L180:L193" si="37">B180*K180/$M$180</f>
        <v>789.71754087600004</v>
      </c>
      <c r="M180" s="428">
        <v>10000000000</v>
      </c>
      <c r="P180" t="s">
        <v>25</v>
      </c>
      <c r="R180" t="s">
        <v>25</v>
      </c>
    </row>
    <row r="181" spans="1:21" ht="23.25">
      <c r="A181" s="429" t="s">
        <v>4216</v>
      </c>
      <c r="B181" s="430">
        <v>3356161798</v>
      </c>
      <c r="C181" s="430">
        <v>300</v>
      </c>
      <c r="D181" s="430">
        <f t="shared" ref="D181:D192" si="38">B181*C181/$M$180</f>
        <v>100.68485394</v>
      </c>
      <c r="E181" s="433">
        <v>220</v>
      </c>
      <c r="F181" s="429">
        <f t="shared" ref="F181:F192" si="39">B181*E181/$M$180</f>
        <v>73.835559556000007</v>
      </c>
      <c r="G181" s="429">
        <v>200</v>
      </c>
      <c r="H181" s="429">
        <f t="shared" ref="H181:H192" si="40">B181*G181/$M$180</f>
        <v>67.123235960000002</v>
      </c>
      <c r="I181" s="429">
        <v>1497</v>
      </c>
      <c r="J181" s="429">
        <f t="shared" si="36"/>
        <v>502.41742116059999</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1309</v>
      </c>
      <c r="J182" s="427">
        <f t="shared" si="36"/>
        <v>262.30500958200003</v>
      </c>
      <c r="K182" s="427">
        <f>I182</f>
        <v>1309</v>
      </c>
      <c r="L182" s="427">
        <f t="shared" si="37"/>
        <v>262.30500958200003</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2819</v>
      </c>
      <c r="J183" s="429">
        <f t="shared" si="36"/>
        <v>140.80904943620001</v>
      </c>
      <c r="K183" s="427">
        <f t="shared" ref="K183:K192" si="41">I183</f>
        <v>2819</v>
      </c>
      <c r="L183" s="429">
        <f t="shared" si="37"/>
        <v>140.80904943620001</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332</v>
      </c>
      <c r="J184" s="427">
        <f t="shared" si="36"/>
        <v>138.16384263</v>
      </c>
      <c r="K184" s="427">
        <f t="shared" si="41"/>
        <v>332</v>
      </c>
      <c r="L184" s="427">
        <f t="shared" si="37"/>
        <v>138.16384263</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216</v>
      </c>
      <c r="J185" s="429">
        <f t="shared" si="36"/>
        <v>121.187664</v>
      </c>
      <c r="K185" s="427">
        <f t="shared" si="41"/>
        <v>216</v>
      </c>
      <c r="L185" s="429">
        <f>B185*K185/$M$180</f>
        <v>121.187664</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648</v>
      </c>
      <c r="J186" s="427">
        <f t="shared" si="36"/>
        <v>63.376127697599998</v>
      </c>
      <c r="K186" s="427">
        <f t="shared" si="41"/>
        <v>648</v>
      </c>
      <c r="L186" s="427">
        <f t="shared" si="37"/>
        <v>63.376127697599998</v>
      </c>
      <c r="M186" s="94"/>
    </row>
    <row r="187" spans="1:21" ht="15.75">
      <c r="A187" s="427" t="s">
        <v>6485</v>
      </c>
      <c r="B187" s="428">
        <v>337500000</v>
      </c>
      <c r="C187" s="428">
        <v>280</v>
      </c>
      <c r="D187" s="428">
        <f t="shared" si="38"/>
        <v>9.4499999999999993</v>
      </c>
      <c r="E187" s="435">
        <v>219.8</v>
      </c>
      <c r="F187" s="427">
        <f t="shared" si="39"/>
        <v>7.4182499999999996</v>
      </c>
      <c r="G187" s="427">
        <v>237</v>
      </c>
      <c r="H187" s="427">
        <f t="shared" si="40"/>
        <v>7.9987500000000002</v>
      </c>
      <c r="I187" s="427">
        <v>1641</v>
      </c>
      <c r="J187" s="427">
        <f t="shared" si="36"/>
        <v>55.383749999999999</v>
      </c>
      <c r="K187" s="427">
        <f t="shared" si="41"/>
        <v>1641</v>
      </c>
      <c r="L187" s="427">
        <f t="shared" si="37"/>
        <v>55.383749999999999</v>
      </c>
      <c r="M187" s="94"/>
      <c r="Q187" s="94"/>
      <c r="R187" s="94"/>
    </row>
    <row r="188" spans="1:21" ht="15.75">
      <c r="A188" s="429" t="s">
        <v>5804</v>
      </c>
      <c r="B188" s="430">
        <v>35697979</v>
      </c>
      <c r="C188" s="430">
        <v>300</v>
      </c>
      <c r="D188" s="430">
        <f t="shared" si="38"/>
        <v>1.0709393700000001</v>
      </c>
      <c r="E188" s="433">
        <v>223</v>
      </c>
      <c r="F188" s="429">
        <f t="shared" si="39"/>
        <v>0.79606493170000003</v>
      </c>
      <c r="G188" s="429">
        <v>80</v>
      </c>
      <c r="H188" s="429">
        <f t="shared" si="40"/>
        <v>0.28558383199999998</v>
      </c>
      <c r="I188" s="429">
        <v>1607</v>
      </c>
      <c r="J188" s="429">
        <f t="shared" si="36"/>
        <v>5.7366652253000003</v>
      </c>
      <c r="K188" s="427">
        <f t="shared" si="41"/>
        <v>1607</v>
      </c>
      <c r="L188" s="429">
        <f t="shared" si="37"/>
        <v>5.7366652253000003</v>
      </c>
      <c r="M188" s="94"/>
      <c r="Q188" s="94"/>
      <c r="R188" s="94"/>
    </row>
    <row r="189" spans="1:21" ht="15.75">
      <c r="A189" s="427" t="s">
        <v>5969</v>
      </c>
      <c r="B189" s="428">
        <v>158220192</v>
      </c>
      <c r="C189" s="428">
        <v>800</v>
      </c>
      <c r="D189" s="428">
        <f t="shared" si="38"/>
        <v>12.657615359999999</v>
      </c>
      <c r="E189" s="435">
        <v>578</v>
      </c>
      <c r="F189" s="427">
        <f t="shared" si="39"/>
        <v>9.1451270975999996</v>
      </c>
      <c r="G189" s="427">
        <v>300</v>
      </c>
      <c r="H189" s="427">
        <f t="shared" si="40"/>
        <v>4.7466057599999996</v>
      </c>
      <c r="I189" s="427">
        <v>1453</v>
      </c>
      <c r="J189" s="427">
        <f t="shared" si="36"/>
        <v>22.989393897599999</v>
      </c>
      <c r="K189" s="427">
        <f t="shared" si="41"/>
        <v>1453</v>
      </c>
      <c r="L189" s="427">
        <f t="shared" si="37"/>
        <v>22.989393897599999</v>
      </c>
      <c r="M189" s="94"/>
      <c r="Q189" s="94"/>
      <c r="R189" s="94"/>
      <c r="S189" s="94"/>
      <c r="T189" s="94"/>
    </row>
    <row r="190" spans="1:21" ht="15.75">
      <c r="A190" s="429" t="s">
        <v>4371</v>
      </c>
      <c r="B190" s="430">
        <v>101805550</v>
      </c>
      <c r="C190" s="430">
        <v>800</v>
      </c>
      <c r="D190" s="430">
        <f t="shared" si="38"/>
        <v>8.144444</v>
      </c>
      <c r="E190" s="433">
        <v>424</v>
      </c>
      <c r="F190" s="429">
        <f t="shared" si="39"/>
        <v>4.31655532</v>
      </c>
      <c r="G190" s="429">
        <v>370</v>
      </c>
      <c r="H190" s="429">
        <f t="shared" si="40"/>
        <v>3.7668053499999998</v>
      </c>
      <c r="I190" s="429">
        <v>4589</v>
      </c>
      <c r="J190" s="429">
        <f t="shared" si="36"/>
        <v>46.718566895000002</v>
      </c>
      <c r="K190" s="427">
        <f t="shared" si="41"/>
        <v>4589</v>
      </c>
      <c r="L190" s="429">
        <f t="shared" si="37"/>
        <v>46.718566895000002</v>
      </c>
      <c r="M190" s="94"/>
      <c r="S190" s="94"/>
      <c r="T190" s="94"/>
    </row>
    <row r="191" spans="1:21" ht="15.75">
      <c r="A191" s="427" t="s">
        <v>6999</v>
      </c>
      <c r="B191" s="428">
        <v>1</v>
      </c>
      <c r="C191" s="428">
        <v>1000000000000</v>
      </c>
      <c r="D191" s="428">
        <f t="shared" si="38"/>
        <v>100</v>
      </c>
      <c r="E191" s="428">
        <v>600000000000</v>
      </c>
      <c r="F191" s="427">
        <f t="shared" si="39"/>
        <v>60</v>
      </c>
      <c r="G191" s="428">
        <v>400000000000</v>
      </c>
      <c r="H191" s="427">
        <f t="shared" si="40"/>
        <v>40</v>
      </c>
      <c r="I191" s="427">
        <v>6000000000000</v>
      </c>
      <c r="J191" s="427">
        <f t="shared" si="36"/>
        <v>600</v>
      </c>
      <c r="K191" s="427">
        <f t="shared" si="41"/>
        <v>6000000000000</v>
      </c>
      <c r="L191" s="427">
        <f t="shared" si="37"/>
        <v>600</v>
      </c>
      <c r="M191" s="94"/>
      <c r="S191" s="94"/>
      <c r="T191" s="94"/>
    </row>
    <row r="192" spans="1:21" ht="15.75">
      <c r="A192" s="429" t="s">
        <v>6486</v>
      </c>
      <c r="B192" s="430">
        <v>1</v>
      </c>
      <c r="C192" s="430">
        <v>750000000000</v>
      </c>
      <c r="D192" s="430">
        <f t="shared" si="38"/>
        <v>75</v>
      </c>
      <c r="E192" s="430">
        <v>500000000000</v>
      </c>
      <c r="F192" s="429">
        <f t="shared" si="39"/>
        <v>50</v>
      </c>
      <c r="G192" s="430">
        <v>300000000000</v>
      </c>
      <c r="H192" s="429">
        <f t="shared" si="40"/>
        <v>30</v>
      </c>
      <c r="I192" s="429">
        <v>4000000000000</v>
      </c>
      <c r="J192" s="429">
        <f t="shared" si="36"/>
        <v>400</v>
      </c>
      <c r="K192" s="427">
        <f t="shared" si="41"/>
        <v>4000000000000</v>
      </c>
      <c r="L192" s="429">
        <f t="shared" si="37"/>
        <v>400</v>
      </c>
      <c r="M192" s="94"/>
      <c r="S192" s="94"/>
      <c r="T192" s="94"/>
    </row>
    <row r="193" spans="1:20" ht="15.75">
      <c r="A193" s="431"/>
      <c r="B193" s="423"/>
      <c r="C193" s="423"/>
      <c r="D193" s="423"/>
      <c r="E193" s="431"/>
      <c r="F193" s="431"/>
      <c r="G193" s="431"/>
      <c r="H193" s="431"/>
      <c r="I193" s="431"/>
      <c r="J193" s="431"/>
      <c r="K193" s="431"/>
      <c r="L193" s="427">
        <f t="shared" si="37"/>
        <v>0</v>
      </c>
      <c r="M193" s="94"/>
      <c r="S193" s="94"/>
      <c r="T193" s="94"/>
    </row>
    <row r="194" spans="1:20" ht="21">
      <c r="A194" s="431"/>
      <c r="B194" s="431"/>
      <c r="C194" s="431"/>
      <c r="D194" s="431">
        <f>SUM(D181:D193)</f>
        <v>483.87385764800007</v>
      </c>
      <c r="E194" s="431"/>
      <c r="F194" s="431">
        <f>SUM(F181:F193)</f>
        <v>351.23120059270002</v>
      </c>
      <c r="G194" s="431"/>
      <c r="H194" s="431">
        <f>SUM(H181:H193)</f>
        <v>186.22370711989998</v>
      </c>
      <c r="I194" s="432" t="s">
        <v>4433</v>
      </c>
      <c r="J194" s="432">
        <f>SUM(J180:J192)</f>
        <v>3148.8050314003003</v>
      </c>
      <c r="K194" s="432" t="s">
        <v>4433</v>
      </c>
      <c r="L194" s="437">
        <f>SUM(L180:L192)</f>
        <v>3888.1674754997002</v>
      </c>
      <c r="M194" s="94"/>
    </row>
    <row r="195" spans="1:20" ht="21">
      <c r="A195" s="431"/>
      <c r="B195" s="431"/>
      <c r="C195" s="431"/>
      <c r="D195" s="431" t="s">
        <v>6</v>
      </c>
      <c r="E195" s="431"/>
      <c r="F195" s="431" t="s">
        <v>6</v>
      </c>
      <c r="G195" s="431"/>
      <c r="H195" s="431" t="s">
        <v>6</v>
      </c>
      <c r="I195" s="432" t="s">
        <v>5015</v>
      </c>
      <c r="J195" s="432">
        <v>1390</v>
      </c>
      <c r="K195" s="432"/>
      <c r="L195" s="437"/>
      <c r="M195" s="94"/>
    </row>
    <row r="196" spans="1:20" ht="21">
      <c r="A196" s="431"/>
      <c r="B196" s="431"/>
      <c r="C196" s="431"/>
      <c r="D196" s="431"/>
      <c r="E196" s="431"/>
      <c r="F196" s="431"/>
      <c r="G196" s="431"/>
      <c r="H196" s="431"/>
      <c r="I196" s="432" t="s">
        <v>5016</v>
      </c>
      <c r="J196" s="432">
        <f>J195/J194</f>
        <v>0.4414373027668389</v>
      </c>
      <c r="K196" s="432" t="s">
        <v>5016</v>
      </c>
      <c r="L196" s="437">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6" t="s">
        <v>7002</v>
      </c>
      <c r="D200" s="176" t="s">
        <v>7001</v>
      </c>
      <c r="E200" s="436" t="s">
        <v>7003</v>
      </c>
      <c r="F200" s="176" t="s">
        <v>7004</v>
      </c>
      <c r="G200" s="176" t="s">
        <v>6449</v>
      </c>
      <c r="H200" s="176" t="s">
        <v>7014</v>
      </c>
      <c r="I200" s="176" t="s">
        <v>4245</v>
      </c>
      <c r="J200" s="176" t="s">
        <v>4913</v>
      </c>
      <c r="K200" s="424" t="s">
        <v>5800</v>
      </c>
      <c r="Q200" t="s">
        <v>25</v>
      </c>
    </row>
    <row r="201" spans="1:20" ht="15.75">
      <c r="A201" s="427" t="s">
        <v>7005</v>
      </c>
      <c r="B201" s="428">
        <v>980726326</v>
      </c>
      <c r="C201" s="428">
        <v>800</v>
      </c>
      <c r="D201" s="428">
        <f>B201*C201/$K$201</f>
        <v>9.6267614822085896</v>
      </c>
      <c r="E201" s="435">
        <v>700</v>
      </c>
      <c r="F201" s="427">
        <f>B201*E201/$K$201</f>
        <v>8.4234162969325155</v>
      </c>
      <c r="G201" s="427">
        <v>650</v>
      </c>
      <c r="H201" s="427">
        <f>B201*G201/$K$201</f>
        <v>7.8217437042944784</v>
      </c>
      <c r="I201" s="427">
        <v>4383</v>
      </c>
      <c r="J201" s="427">
        <f>B201*I201/$K$201</f>
        <v>52.742619470650304</v>
      </c>
      <c r="K201" s="428">
        <v>81500000000</v>
      </c>
    </row>
    <row r="202" spans="1:20" ht="15.75">
      <c r="A202" s="429" t="s">
        <v>4476</v>
      </c>
      <c r="B202" s="430">
        <v>478789262</v>
      </c>
      <c r="C202" s="430">
        <v>7000</v>
      </c>
      <c r="D202" s="428">
        <f t="shared" ref="D202:D220" si="42">B202*C202/$K$201</f>
        <v>41.123004098159512</v>
      </c>
      <c r="E202" s="433">
        <v>5800</v>
      </c>
      <c r="F202" s="427">
        <f t="shared" ref="F202:F219" si="43">B202*E202/$K$201</f>
        <v>34.073346252760736</v>
      </c>
      <c r="G202" s="429">
        <v>5600</v>
      </c>
      <c r="H202" s="427">
        <f t="shared" ref="H202:H220" si="44">B202*G202/$K$201</f>
        <v>32.89840327852761</v>
      </c>
      <c r="I202" s="429">
        <v>37780</v>
      </c>
      <c r="J202" s="427">
        <f t="shared" ref="J202:J220" si="45">B202*I202/$K$201</f>
        <v>221.94672783263803</v>
      </c>
      <c r="K202" s="426"/>
    </row>
    <row r="203" spans="1:20" ht="15.75">
      <c r="A203" s="427" t="s">
        <v>7013</v>
      </c>
      <c r="B203" s="428">
        <v>1226605805</v>
      </c>
      <c r="C203" s="428">
        <v>150</v>
      </c>
      <c r="D203" s="428">
        <f t="shared" si="42"/>
        <v>2.2575566963190186</v>
      </c>
      <c r="E203" s="435">
        <v>120</v>
      </c>
      <c r="F203" s="427">
        <f t="shared" si="43"/>
        <v>1.8060453570552146</v>
      </c>
      <c r="G203" s="427">
        <v>5</v>
      </c>
      <c r="H203" s="427">
        <f t="shared" si="44"/>
        <v>7.525188987730061E-2</v>
      </c>
      <c r="I203" s="427">
        <v>1242</v>
      </c>
      <c r="J203" s="427">
        <f t="shared" si="45"/>
        <v>18.692569445521471</v>
      </c>
      <c r="K203" s="426"/>
    </row>
    <row r="204" spans="1:20" ht="15.75">
      <c r="A204" s="429" t="s">
        <v>7012</v>
      </c>
      <c r="B204" s="430">
        <v>2939645030</v>
      </c>
      <c r="C204" s="430">
        <v>10</v>
      </c>
      <c r="D204" s="428">
        <f t="shared" si="42"/>
        <v>0.36069264171779142</v>
      </c>
      <c r="E204" s="433">
        <v>10</v>
      </c>
      <c r="F204" s="427">
        <f t="shared" si="43"/>
        <v>0.36069264171779142</v>
      </c>
      <c r="G204" s="429">
        <v>1</v>
      </c>
      <c r="H204" s="427">
        <f t="shared" si="44"/>
        <v>3.6069264171779143E-2</v>
      </c>
      <c r="I204" s="429">
        <v>473</v>
      </c>
      <c r="J204" s="427">
        <f t="shared" si="45"/>
        <v>17.060761953251532</v>
      </c>
      <c r="K204" s="426"/>
    </row>
    <row r="205" spans="1:20" ht="15.75">
      <c r="A205" s="427" t="s">
        <v>7015</v>
      </c>
      <c r="B205" s="428">
        <v>1270296458</v>
      </c>
      <c r="C205" s="428">
        <v>300</v>
      </c>
      <c r="D205" s="428">
        <f t="shared" si="42"/>
        <v>4.6759378822085891</v>
      </c>
      <c r="E205" s="435">
        <v>300</v>
      </c>
      <c r="F205" s="427">
        <f t="shared" si="43"/>
        <v>4.6759378822085891</v>
      </c>
      <c r="G205" s="427">
        <v>270</v>
      </c>
      <c r="H205" s="427">
        <f t="shared" si="44"/>
        <v>4.2083440939877299</v>
      </c>
      <c r="I205" s="427">
        <v>2402</v>
      </c>
      <c r="J205" s="427">
        <f t="shared" si="45"/>
        <v>37.438675976883438</v>
      </c>
      <c r="K205" s="426"/>
      <c r="N205" s="424" t="s">
        <v>25</v>
      </c>
    </row>
    <row r="206" spans="1:20" ht="15.75">
      <c r="A206" s="429" t="s">
        <v>5807</v>
      </c>
      <c r="B206" s="430">
        <v>1336082292</v>
      </c>
      <c r="C206" s="430">
        <v>3000</v>
      </c>
      <c r="D206" s="428">
        <f t="shared" si="42"/>
        <v>49.180943263803684</v>
      </c>
      <c r="E206" s="433">
        <v>2500</v>
      </c>
      <c r="F206" s="427">
        <f t="shared" si="43"/>
        <v>40.984119386503068</v>
      </c>
      <c r="G206" s="429">
        <v>2100</v>
      </c>
      <c r="H206" s="427">
        <f t="shared" si="44"/>
        <v>34.426660284662574</v>
      </c>
      <c r="I206" s="429">
        <v>18424</v>
      </c>
      <c r="J206" s="427">
        <f t="shared" si="45"/>
        <v>302.03656623077302</v>
      </c>
      <c r="K206" s="426"/>
    </row>
    <row r="207" spans="1:20" ht="15.75">
      <c r="A207" s="427" t="s">
        <v>4371</v>
      </c>
      <c r="B207" s="428">
        <v>1344540394</v>
      </c>
      <c r="C207" s="428">
        <v>1000</v>
      </c>
      <c r="D207" s="428">
        <f t="shared" si="42"/>
        <v>16.497428147239265</v>
      </c>
      <c r="E207" s="435">
        <v>800</v>
      </c>
      <c r="F207" s="427">
        <f t="shared" si="43"/>
        <v>13.197942517791411</v>
      </c>
      <c r="G207" s="427">
        <v>650</v>
      </c>
      <c r="H207" s="427">
        <f t="shared" si="44"/>
        <v>10.723328295705521</v>
      </c>
      <c r="I207" s="427">
        <v>4330</v>
      </c>
      <c r="J207" s="427">
        <f t="shared" si="45"/>
        <v>71.433863877546017</v>
      </c>
      <c r="K207" s="426"/>
    </row>
    <row r="208" spans="1:20" ht="15.75">
      <c r="A208" s="429" t="s">
        <v>7016</v>
      </c>
      <c r="B208" s="430">
        <v>1200002514</v>
      </c>
      <c r="C208" s="430">
        <v>300</v>
      </c>
      <c r="D208" s="428">
        <f t="shared" si="42"/>
        <v>4.4171871680981596</v>
      </c>
      <c r="E208" s="433">
        <v>300</v>
      </c>
      <c r="F208" s="427">
        <f t="shared" si="43"/>
        <v>4.4171871680981596</v>
      </c>
      <c r="G208" s="429">
        <v>250</v>
      </c>
      <c r="H208" s="427">
        <f t="shared" si="44"/>
        <v>3.6809893067484665</v>
      </c>
      <c r="I208" s="429">
        <v>1897</v>
      </c>
      <c r="J208" s="427">
        <f t="shared" si="45"/>
        <v>27.931346859607363</v>
      </c>
      <c r="K208" s="426"/>
    </row>
    <row r="209" spans="1:11" ht="15.75">
      <c r="A209" s="427" t="s">
        <v>4477</v>
      </c>
      <c r="B209" s="428">
        <v>1114663695</v>
      </c>
      <c r="C209" s="428">
        <v>800</v>
      </c>
      <c r="D209" s="428">
        <f t="shared" si="42"/>
        <v>10.941484122699386</v>
      </c>
      <c r="E209" s="435">
        <v>650</v>
      </c>
      <c r="F209" s="427">
        <f t="shared" si="43"/>
        <v>8.8899558496932514</v>
      </c>
      <c r="G209" s="427">
        <v>600</v>
      </c>
      <c r="H209" s="427">
        <f t="shared" si="44"/>
        <v>8.2061130920245393</v>
      </c>
      <c r="I209" s="427">
        <v>5020</v>
      </c>
      <c r="J209" s="427">
        <f t="shared" si="45"/>
        <v>68.657812869938653</v>
      </c>
      <c r="K209" s="426"/>
    </row>
    <row r="210" spans="1:11" ht="15.75">
      <c r="A210" s="429" t="s">
        <v>5771</v>
      </c>
      <c r="B210" s="430">
        <v>2321974047</v>
      </c>
      <c r="C210" s="430">
        <v>900</v>
      </c>
      <c r="D210" s="428">
        <f t="shared" si="42"/>
        <v>25.641431193865031</v>
      </c>
      <c r="E210" s="433">
        <v>700</v>
      </c>
      <c r="F210" s="427">
        <f t="shared" si="43"/>
        <v>19.943335373006136</v>
      </c>
      <c r="G210" s="429">
        <v>650</v>
      </c>
      <c r="H210" s="427">
        <f t="shared" si="44"/>
        <v>18.518811417791412</v>
      </c>
      <c r="I210" s="429">
        <v>4707</v>
      </c>
      <c r="J210" s="427">
        <f t="shared" si="45"/>
        <v>134.10468514391411</v>
      </c>
      <c r="K210" s="426"/>
    </row>
    <row r="211" spans="1:11" ht="15.75">
      <c r="A211" s="427" t="s">
        <v>4837</v>
      </c>
      <c r="B211" s="428">
        <v>770933241</v>
      </c>
      <c r="C211" s="428">
        <v>1700</v>
      </c>
      <c r="D211" s="428">
        <f t="shared" si="42"/>
        <v>16.080816069938649</v>
      </c>
      <c r="E211" s="435">
        <v>1500</v>
      </c>
      <c r="F211" s="427">
        <f t="shared" si="43"/>
        <v>14.18895535582822</v>
      </c>
      <c r="G211" s="427">
        <v>1300</v>
      </c>
      <c r="H211" s="427">
        <f t="shared" si="44"/>
        <v>12.297094641717791</v>
      </c>
      <c r="I211" s="427">
        <v>8104</v>
      </c>
      <c r="J211" s="427">
        <f t="shared" si="45"/>
        <v>76.658196135754608</v>
      </c>
      <c r="K211" s="426"/>
    </row>
    <row r="212" spans="1:11" ht="21">
      <c r="A212" s="429" t="s">
        <v>5803</v>
      </c>
      <c r="B212" s="430">
        <v>21836381454</v>
      </c>
      <c r="C212" s="430">
        <v>150</v>
      </c>
      <c r="D212" s="428">
        <f>B212*C212/$K$201</f>
        <v>40.189659117791408</v>
      </c>
      <c r="E212" s="433">
        <v>134</v>
      </c>
      <c r="F212" s="427">
        <f>B212*E212/$K$201</f>
        <v>35.902762145226994</v>
      </c>
      <c r="G212" s="434">
        <v>60</v>
      </c>
      <c r="H212" s="437">
        <f t="shared" si="44"/>
        <v>16.075863647116563</v>
      </c>
      <c r="I212" s="429">
        <v>1210</v>
      </c>
      <c r="J212" s="427">
        <f t="shared" si="45"/>
        <v>324.19658355018407</v>
      </c>
      <c r="K212" s="426"/>
    </row>
    <row r="213" spans="1:11" ht="15.75">
      <c r="A213" s="427" t="s">
        <v>7006</v>
      </c>
      <c r="B213" s="428">
        <v>880634647</v>
      </c>
      <c r="C213" s="428">
        <v>2000</v>
      </c>
      <c r="D213" s="428">
        <f t="shared" si="42"/>
        <v>21.61066618404908</v>
      </c>
      <c r="E213" s="435">
        <v>1800</v>
      </c>
      <c r="F213" s="427">
        <f t="shared" si="43"/>
        <v>19.449599565644171</v>
      </c>
      <c r="G213" s="427">
        <v>1700</v>
      </c>
      <c r="H213" s="427">
        <f t="shared" si="44"/>
        <v>18.36906625644172</v>
      </c>
      <c r="I213" s="427">
        <v>9067</v>
      </c>
      <c r="J213" s="427">
        <f t="shared" si="45"/>
        <v>97.971955145386502</v>
      </c>
      <c r="K213" s="426"/>
    </row>
    <row r="214" spans="1:11" ht="15.75">
      <c r="A214" s="429" t="s">
        <v>5276</v>
      </c>
      <c r="B214" s="430">
        <v>5351332707</v>
      </c>
      <c r="C214" s="430">
        <v>160</v>
      </c>
      <c r="D214" s="428">
        <f t="shared" si="42"/>
        <v>10.50568384196319</v>
      </c>
      <c r="E214" s="433">
        <v>160</v>
      </c>
      <c r="F214" s="427">
        <f t="shared" si="43"/>
        <v>10.50568384196319</v>
      </c>
      <c r="G214" s="429">
        <v>150</v>
      </c>
      <c r="H214" s="427">
        <f t="shared" si="44"/>
        <v>9.8490786018404908</v>
      </c>
      <c r="I214" s="429">
        <v>941</v>
      </c>
      <c r="J214" s="427">
        <f t="shared" si="45"/>
        <v>61.786553095546012</v>
      </c>
      <c r="K214" s="426" t="s">
        <v>25</v>
      </c>
    </row>
    <row r="215" spans="1:11" ht="15.75">
      <c r="A215" s="427" t="s">
        <v>7007</v>
      </c>
      <c r="B215" s="428">
        <v>1376998000</v>
      </c>
      <c r="C215" s="428">
        <v>2000</v>
      </c>
      <c r="D215" s="428">
        <f t="shared" si="42"/>
        <v>33.791361963190184</v>
      </c>
      <c r="E215" s="435">
        <v>1700</v>
      </c>
      <c r="F215" s="427">
        <f t="shared" si="43"/>
        <v>28.722657668711655</v>
      </c>
      <c r="G215" s="427">
        <v>1600</v>
      </c>
      <c r="H215" s="427">
        <f t="shared" si="44"/>
        <v>27.033089570552146</v>
      </c>
      <c r="I215" s="427">
        <v>9875</v>
      </c>
      <c r="J215" s="427">
        <f t="shared" si="45"/>
        <v>166.84484969325155</v>
      </c>
      <c r="K215" s="426" t="s">
        <v>25</v>
      </c>
    </row>
    <row r="216" spans="1:11" ht="15.75">
      <c r="A216" s="429" t="s">
        <v>7008</v>
      </c>
      <c r="B216" s="430">
        <v>174270956</v>
      </c>
      <c r="C216" s="430">
        <v>800</v>
      </c>
      <c r="D216" s="428">
        <f t="shared" si="42"/>
        <v>1.7106351509202453</v>
      </c>
      <c r="E216" s="433">
        <v>800</v>
      </c>
      <c r="F216" s="427">
        <f t="shared" si="43"/>
        <v>1.7106351509202453</v>
      </c>
      <c r="G216" s="429">
        <v>600</v>
      </c>
      <c r="H216" s="427">
        <f t="shared" si="44"/>
        <v>1.282976363190184</v>
      </c>
      <c r="I216" s="429">
        <v>6319</v>
      </c>
      <c r="J216" s="427">
        <f t="shared" si="45"/>
        <v>13.511879398331288</v>
      </c>
      <c r="K216" s="426"/>
    </row>
    <row r="217" spans="1:11" ht="15.75">
      <c r="A217" s="427" t="s">
        <v>7009</v>
      </c>
      <c r="B217" s="428">
        <v>1</v>
      </c>
      <c r="C217" s="428">
        <v>350000000000</v>
      </c>
      <c r="D217" s="428">
        <f t="shared" si="42"/>
        <v>4.294478527607362</v>
      </c>
      <c r="E217" s="435">
        <v>300000000000</v>
      </c>
      <c r="F217" s="427">
        <f t="shared" si="43"/>
        <v>3.6809815950920246</v>
      </c>
      <c r="G217" s="427">
        <v>250000000000</v>
      </c>
      <c r="H217" s="427">
        <f t="shared" si="44"/>
        <v>3.0674846625766872</v>
      </c>
      <c r="I217" s="427">
        <v>1800000000000</v>
      </c>
      <c r="J217" s="427">
        <f t="shared" si="45"/>
        <v>22.085889570552148</v>
      </c>
      <c r="K217" s="426"/>
    </row>
    <row r="218" spans="1:11" ht="15.75">
      <c r="A218" s="429" t="s">
        <v>7010</v>
      </c>
      <c r="B218" s="430">
        <v>12494998000</v>
      </c>
      <c r="C218" s="430">
        <v>900</v>
      </c>
      <c r="D218" s="428">
        <f t="shared" si="42"/>
        <v>137.98157300613497</v>
      </c>
      <c r="E218" s="433">
        <v>800</v>
      </c>
      <c r="F218" s="427">
        <f t="shared" si="43"/>
        <v>122.65028711656441</v>
      </c>
      <c r="G218" s="429">
        <v>80</v>
      </c>
      <c r="H218" s="427">
        <f t="shared" si="44"/>
        <v>12.265028711656441</v>
      </c>
      <c r="I218" s="429">
        <v>3000</v>
      </c>
      <c r="J218" s="427">
        <f t="shared" si="45"/>
        <v>459.93857668711655</v>
      </c>
      <c r="K218" s="426"/>
    </row>
    <row r="219" spans="1:11" ht="15.75">
      <c r="A219" s="427" t="s">
        <v>7011</v>
      </c>
      <c r="B219" s="428">
        <v>3062221439</v>
      </c>
      <c r="C219" s="428">
        <v>30</v>
      </c>
      <c r="D219" s="428">
        <f t="shared" si="42"/>
        <v>1.1271980757055216</v>
      </c>
      <c r="E219" s="435">
        <v>20</v>
      </c>
      <c r="F219" s="427">
        <f t="shared" si="43"/>
        <v>0.751465383803681</v>
      </c>
      <c r="G219" s="427">
        <v>2</v>
      </c>
      <c r="H219" s="427">
        <f t="shared" si="44"/>
        <v>7.5146538380368097E-2</v>
      </c>
      <c r="I219" s="427">
        <v>2000</v>
      </c>
      <c r="J219" s="427">
        <f t="shared" si="45"/>
        <v>75.146538380368099</v>
      </c>
    </row>
    <row r="220" spans="1:11" ht="15.75">
      <c r="A220" s="429" t="s">
        <v>6486</v>
      </c>
      <c r="B220" s="430">
        <v>1</v>
      </c>
      <c r="C220" s="430">
        <v>750000000000</v>
      </c>
      <c r="D220" s="428">
        <f t="shared" si="42"/>
        <v>9.2024539877300615</v>
      </c>
      <c r="E220" s="430">
        <v>500000000000</v>
      </c>
      <c r="F220" s="427">
        <f>B220*E220/$K$201</f>
        <v>6.1349693251533743</v>
      </c>
      <c r="G220" s="430">
        <v>300000000000</v>
      </c>
      <c r="H220" s="427">
        <f t="shared" si="44"/>
        <v>3.6809815950920246</v>
      </c>
      <c r="I220" s="429">
        <v>4000000000000</v>
      </c>
      <c r="J220" s="427">
        <f t="shared" si="45"/>
        <v>49.079754601226995</v>
      </c>
    </row>
    <row r="221" spans="1:11" ht="15.75">
      <c r="A221" s="431"/>
      <c r="B221" s="423"/>
      <c r="C221" s="423"/>
      <c r="D221" s="423"/>
      <c r="E221" s="431"/>
      <c r="F221" s="431"/>
      <c r="G221" s="431"/>
      <c r="H221" s="431"/>
      <c r="I221" s="431"/>
      <c r="J221" s="431"/>
    </row>
    <row r="222" spans="1:11" ht="21">
      <c r="A222" s="431"/>
      <c r="B222" s="431"/>
      <c r="C222" s="431"/>
      <c r="D222" s="423">
        <f>SUM(D201:D221)</f>
        <v>441.21695262134961</v>
      </c>
      <c r="E222" s="431"/>
      <c r="F222" s="431">
        <f>SUM(F202:F221)</f>
        <v>372.0465595777423</v>
      </c>
      <c r="G222" s="431"/>
      <c r="H222" s="431">
        <f>SUM(H202:H221)</f>
        <v>216.76978151206137</v>
      </c>
      <c r="I222" s="432" t="s">
        <v>4433</v>
      </c>
      <c r="J222" s="432">
        <f>SUM(J201:J220)</f>
        <v>2299.2664059184417</v>
      </c>
    </row>
    <row r="223" spans="1:11" ht="21">
      <c r="A223" s="431"/>
      <c r="B223" s="431"/>
      <c r="C223" s="431"/>
      <c r="D223" s="431" t="s">
        <v>6</v>
      </c>
      <c r="E223" s="431"/>
      <c r="F223" s="431" t="s">
        <v>6</v>
      </c>
      <c r="G223" s="431"/>
      <c r="H223" s="431" t="s">
        <v>6</v>
      </c>
      <c r="I223" s="432" t="s">
        <v>5015</v>
      </c>
      <c r="J223" s="432">
        <v>1400</v>
      </c>
    </row>
    <row r="224" spans="1:11" ht="21">
      <c r="A224" s="431"/>
      <c r="B224" s="431"/>
      <c r="C224" s="431"/>
      <c r="D224" s="431"/>
      <c r="E224" s="431"/>
      <c r="F224" s="431"/>
      <c r="G224" s="431"/>
      <c r="H224" s="431"/>
      <c r="I224" s="432" t="s">
        <v>5016</v>
      </c>
      <c r="J224" s="432">
        <f>J223/J222</f>
        <v>0.6088898599989635</v>
      </c>
    </row>
    <row r="229" spans="1:11" ht="15.75">
      <c r="A229" s="176" t="s">
        <v>4828</v>
      </c>
      <c r="B229" s="176" t="s">
        <v>4829</v>
      </c>
      <c r="C229" s="436" t="s">
        <v>7002</v>
      </c>
      <c r="D229" s="176" t="s">
        <v>7001</v>
      </c>
      <c r="E229" s="436" t="s">
        <v>7003</v>
      </c>
      <c r="F229" s="176" t="s">
        <v>7004</v>
      </c>
      <c r="G229" s="176" t="s">
        <v>6449</v>
      </c>
      <c r="H229" s="176" t="s">
        <v>7014</v>
      </c>
      <c r="I229" s="176" t="s">
        <v>4245</v>
      </c>
      <c r="J229" s="176" t="s">
        <v>4913</v>
      </c>
      <c r="K229" s="424" t="s">
        <v>4656</v>
      </c>
    </row>
    <row r="230" spans="1:11" ht="15.75">
      <c r="A230" s="427" t="s">
        <v>7052</v>
      </c>
      <c r="B230" s="428">
        <v>66006193</v>
      </c>
      <c r="C230" s="428">
        <v>800</v>
      </c>
      <c r="D230" s="428">
        <f t="shared" ref="D230:D249" si="46">B230*C230/$K$230</f>
        <v>4.4004128666666666</v>
      </c>
      <c r="E230" s="427">
        <v>700</v>
      </c>
      <c r="F230" s="427">
        <f>B230*E230/$K$230</f>
        <v>3.8503612583333333</v>
      </c>
      <c r="G230" s="427">
        <v>650</v>
      </c>
      <c r="H230" s="427">
        <f>B230*G230/$K$230</f>
        <v>3.5753354541666669</v>
      </c>
      <c r="I230" s="427">
        <v>2386</v>
      </c>
      <c r="J230" s="427">
        <f>B230*I230/$K$230</f>
        <v>13.124231374833334</v>
      </c>
      <c r="K230" s="428">
        <v>12000000000</v>
      </c>
    </row>
    <row r="231" spans="1:11" ht="15.75">
      <c r="A231" s="429" t="s">
        <v>5797</v>
      </c>
      <c r="B231" s="428">
        <v>1285274355</v>
      </c>
      <c r="C231" s="430">
        <v>450</v>
      </c>
      <c r="D231" s="428">
        <f t="shared" si="46"/>
        <v>48.197788312500002</v>
      </c>
      <c r="E231" s="433">
        <v>308</v>
      </c>
      <c r="F231" s="427">
        <f t="shared" ref="F231:F250" si="47">B231*E231/$K$230</f>
        <v>32.988708445</v>
      </c>
      <c r="G231" s="429">
        <v>213</v>
      </c>
      <c r="H231" s="427">
        <f t="shared" ref="H231:H250" si="48">B231*G231/$K$230</f>
        <v>22.813619801249999</v>
      </c>
      <c r="I231" s="429">
        <v>2810</v>
      </c>
      <c r="J231" s="427">
        <f t="shared" ref="J231:J249" si="49">B231*I231/$K$230</f>
        <v>300.9684114625</v>
      </c>
      <c r="K231" s="445"/>
    </row>
    <row r="232" spans="1:11" ht="15.75">
      <c r="A232" s="427" t="s">
        <v>7046</v>
      </c>
      <c r="B232" s="428">
        <v>995049277</v>
      </c>
      <c r="C232" s="428">
        <v>260</v>
      </c>
      <c r="D232" s="428">
        <f t="shared" si="46"/>
        <v>21.559401001666668</v>
      </c>
      <c r="E232" s="435">
        <v>120</v>
      </c>
      <c r="F232" s="427">
        <f t="shared" si="47"/>
        <v>9.9504927700000003</v>
      </c>
      <c r="G232" s="427">
        <v>30</v>
      </c>
      <c r="H232" s="427">
        <f t="shared" si="48"/>
        <v>2.4876231925000001</v>
      </c>
      <c r="I232" s="427">
        <v>1107</v>
      </c>
      <c r="J232" s="427">
        <f t="shared" si="49"/>
        <v>91.793295803250004</v>
      </c>
      <c r="K232" s="445"/>
    </row>
    <row r="233" spans="1:11" ht="15.75">
      <c r="A233" s="429" t="s">
        <v>7047</v>
      </c>
      <c r="B233" s="430">
        <v>676410539</v>
      </c>
      <c r="C233" s="430">
        <v>300</v>
      </c>
      <c r="D233" s="428">
        <f t="shared" si="46"/>
        <v>16.910263475000001</v>
      </c>
      <c r="E233" s="433">
        <v>257</v>
      </c>
      <c r="F233" s="427">
        <f t="shared" si="47"/>
        <v>14.486459043583332</v>
      </c>
      <c r="G233" s="429">
        <v>130</v>
      </c>
      <c r="H233" s="427">
        <f t="shared" si="48"/>
        <v>7.3277808391666666</v>
      </c>
      <c r="I233" s="429">
        <v>1264</v>
      </c>
      <c r="J233" s="427">
        <f t="shared" si="49"/>
        <v>71.24857677466666</v>
      </c>
      <c r="K233" s="445"/>
    </row>
    <row r="234" spans="1:11" ht="15.75">
      <c r="A234" s="427" t="s">
        <v>7048</v>
      </c>
      <c r="B234" s="428">
        <v>213196988</v>
      </c>
      <c r="C234" s="428">
        <v>200</v>
      </c>
      <c r="D234" s="428">
        <f t="shared" si="46"/>
        <v>3.5532831333333332</v>
      </c>
      <c r="E234" s="435">
        <v>167</v>
      </c>
      <c r="F234" s="427">
        <f t="shared" si="47"/>
        <v>2.9669914163333333</v>
      </c>
      <c r="G234" s="427">
        <v>85</v>
      </c>
      <c r="H234" s="427">
        <f t="shared" si="48"/>
        <v>1.5101453316666666</v>
      </c>
      <c r="I234" s="427">
        <v>1650</v>
      </c>
      <c r="J234" s="427">
        <f t="shared" si="49"/>
        <v>29.31458585</v>
      </c>
      <c r="K234" s="445"/>
    </row>
    <row r="235" spans="1:11" ht="15.75">
      <c r="A235" s="429" t="s">
        <v>4216</v>
      </c>
      <c r="B235" s="430">
        <v>113533718</v>
      </c>
      <c r="C235" s="430">
        <v>300</v>
      </c>
      <c r="D235" s="428">
        <f t="shared" si="46"/>
        <v>2.8383429499999999</v>
      </c>
      <c r="E235" s="433">
        <v>230</v>
      </c>
      <c r="F235" s="427">
        <f t="shared" si="47"/>
        <v>2.1760629283333333</v>
      </c>
      <c r="G235" s="429">
        <v>200</v>
      </c>
      <c r="H235" s="427">
        <f t="shared" si="48"/>
        <v>1.8922286333333334</v>
      </c>
      <c r="I235" s="429">
        <v>1530</v>
      </c>
      <c r="J235" s="427">
        <f t="shared" si="49"/>
        <v>14.475549044999999</v>
      </c>
      <c r="K235" s="445"/>
    </row>
    <row r="236" spans="1:11" ht="15.75">
      <c r="A236" s="427" t="s">
        <v>6482</v>
      </c>
      <c r="B236" s="428">
        <v>1385388043</v>
      </c>
      <c r="C236" s="428">
        <v>350</v>
      </c>
      <c r="D236" s="428">
        <f t="shared" si="46"/>
        <v>40.407151254166664</v>
      </c>
      <c r="E236" s="435">
        <v>190</v>
      </c>
      <c r="F236" s="427">
        <f t="shared" si="47"/>
        <v>21.935310680833332</v>
      </c>
      <c r="G236" s="427">
        <v>130</v>
      </c>
      <c r="H236" s="427">
        <f t="shared" si="48"/>
        <v>15.008370465833334</v>
      </c>
      <c r="I236" s="427">
        <v>2200</v>
      </c>
      <c r="J236" s="427">
        <f t="shared" si="49"/>
        <v>253.98780788333335</v>
      </c>
      <c r="K236" s="445"/>
    </row>
    <row r="237" spans="1:11" ht="15.75">
      <c r="A237" s="429" t="s">
        <v>4509</v>
      </c>
      <c r="B237" s="430">
        <v>1246451029</v>
      </c>
      <c r="C237" s="430">
        <v>260</v>
      </c>
      <c r="D237" s="428">
        <f t="shared" si="46"/>
        <v>27.006438961666667</v>
      </c>
      <c r="E237" s="433">
        <v>130</v>
      </c>
      <c r="F237" s="427">
        <f t="shared" si="47"/>
        <v>13.503219480833334</v>
      </c>
      <c r="G237" s="429">
        <v>28</v>
      </c>
      <c r="H237" s="427">
        <f t="shared" si="48"/>
        <v>2.9083857343333333</v>
      </c>
      <c r="I237" s="429">
        <v>1315</v>
      </c>
      <c r="J237" s="427">
        <f t="shared" si="49"/>
        <v>136.59025859458333</v>
      </c>
      <c r="K237" s="445"/>
    </row>
    <row r="238" spans="1:11" ht="15.75">
      <c r="A238" s="427" t="s">
        <v>5804</v>
      </c>
      <c r="B238" s="428">
        <v>111005114</v>
      </c>
      <c r="C238" s="428">
        <v>250</v>
      </c>
      <c r="D238" s="428">
        <f t="shared" si="46"/>
        <v>2.3126065416666668</v>
      </c>
      <c r="E238" s="435">
        <v>223</v>
      </c>
      <c r="F238" s="427">
        <f t="shared" si="47"/>
        <v>2.0628450351666667</v>
      </c>
      <c r="G238" s="427">
        <v>80</v>
      </c>
      <c r="H238" s="427">
        <f t="shared" si="48"/>
        <v>0.74003409333333336</v>
      </c>
      <c r="I238" s="427">
        <v>1600</v>
      </c>
      <c r="J238" s="427">
        <f t="shared" si="49"/>
        <v>14.800681866666666</v>
      </c>
      <c r="K238" s="445"/>
    </row>
    <row r="239" spans="1:11" ht="15.75">
      <c r="A239" s="429" t="s">
        <v>4476</v>
      </c>
      <c r="B239" s="430">
        <v>7385687</v>
      </c>
      <c r="C239" s="430">
        <v>6000</v>
      </c>
      <c r="D239" s="428">
        <f t="shared" si="46"/>
        <v>3.6928434999999999</v>
      </c>
      <c r="E239" s="433">
        <v>5800</v>
      </c>
      <c r="F239" s="427">
        <f t="shared" si="47"/>
        <v>3.5697487166666666</v>
      </c>
      <c r="G239" s="429">
        <v>5800</v>
      </c>
      <c r="H239" s="427">
        <f t="shared" si="48"/>
        <v>3.5697487166666666</v>
      </c>
      <c r="I239" s="429">
        <v>40260</v>
      </c>
      <c r="J239" s="427">
        <f t="shared" si="49"/>
        <v>24.778979884999998</v>
      </c>
      <c r="K239" s="445"/>
    </row>
    <row r="240" spans="1:11" ht="15.75">
      <c r="A240" s="427" t="s">
        <v>7049</v>
      </c>
      <c r="B240" s="428">
        <v>471875451</v>
      </c>
      <c r="C240" s="428">
        <v>0</v>
      </c>
      <c r="D240" s="428">
        <f t="shared" si="46"/>
        <v>0</v>
      </c>
      <c r="E240" s="435">
        <v>0</v>
      </c>
      <c r="F240" s="427">
        <f t="shared" si="47"/>
        <v>0</v>
      </c>
      <c r="G240" s="427">
        <v>0</v>
      </c>
      <c r="H240" s="427">
        <f t="shared" si="48"/>
        <v>0</v>
      </c>
      <c r="I240" s="427">
        <v>2100</v>
      </c>
      <c r="J240" s="427">
        <f t="shared" si="49"/>
        <v>82.578203924999997</v>
      </c>
      <c r="K240" s="445"/>
    </row>
    <row r="241" spans="1:12" ht="18.75">
      <c r="A241" s="429" t="s">
        <v>4835</v>
      </c>
      <c r="B241" s="430">
        <v>84202942</v>
      </c>
      <c r="C241" s="430">
        <v>3000</v>
      </c>
      <c r="D241" s="428">
        <f t="shared" si="46"/>
        <v>21.050735499999998</v>
      </c>
      <c r="E241" s="433">
        <v>2100</v>
      </c>
      <c r="F241" s="427">
        <f t="shared" si="47"/>
        <v>14.735514849999999</v>
      </c>
      <c r="G241" s="448">
        <v>1800</v>
      </c>
      <c r="H241" s="427">
        <f t="shared" si="48"/>
        <v>12.630441299999999</v>
      </c>
      <c r="I241" s="429">
        <v>17768</v>
      </c>
      <c r="J241" s="427">
        <f t="shared" si="49"/>
        <v>124.67648945466667</v>
      </c>
      <c r="K241" s="445"/>
    </row>
    <row r="242" spans="1:12" ht="15.75">
      <c r="A242" s="427" t="s">
        <v>4358</v>
      </c>
      <c r="B242" s="428">
        <v>6727696</v>
      </c>
      <c r="C242" s="428">
        <v>4500</v>
      </c>
      <c r="D242" s="428">
        <f t="shared" si="46"/>
        <v>2.5228860000000002</v>
      </c>
      <c r="E242" s="435">
        <v>2400</v>
      </c>
      <c r="F242" s="427">
        <f t="shared" si="47"/>
        <v>1.3455391999999999</v>
      </c>
      <c r="G242" s="427">
        <v>2300</v>
      </c>
      <c r="H242" s="427">
        <f t="shared" si="48"/>
        <v>1.2894750666666666</v>
      </c>
      <c r="I242" s="427">
        <v>29290</v>
      </c>
      <c r="J242" s="427">
        <f t="shared" si="49"/>
        <v>16.421184653333334</v>
      </c>
      <c r="K242" s="445"/>
    </row>
    <row r="243" spans="1:12" ht="15.75">
      <c r="A243" s="429" t="s">
        <v>5857</v>
      </c>
      <c r="B243" s="430">
        <v>288259927</v>
      </c>
      <c r="C243" s="430">
        <v>550</v>
      </c>
      <c r="D243" s="428">
        <f t="shared" si="46"/>
        <v>13.211913320833334</v>
      </c>
      <c r="E243" s="433">
        <v>430</v>
      </c>
      <c r="F243" s="427">
        <f t="shared" si="47"/>
        <v>10.329314050833334</v>
      </c>
      <c r="G243" s="429">
        <v>380</v>
      </c>
      <c r="H243" s="427">
        <f t="shared" si="48"/>
        <v>9.1282310216666662</v>
      </c>
      <c r="I243" s="429">
        <v>3341</v>
      </c>
      <c r="J243" s="427">
        <f t="shared" si="49"/>
        <v>80.256368008916667</v>
      </c>
      <c r="K243" s="445" t="s">
        <v>25</v>
      </c>
    </row>
    <row r="244" spans="1:12" ht="15.75">
      <c r="A244" s="427" t="s">
        <v>5803</v>
      </c>
      <c r="B244" s="428">
        <v>103608037</v>
      </c>
      <c r="C244" s="428">
        <v>160</v>
      </c>
      <c r="D244" s="428">
        <f t="shared" si="46"/>
        <v>1.3814404933333333</v>
      </c>
      <c r="E244" s="427">
        <v>134</v>
      </c>
      <c r="F244" s="427">
        <f t="shared" si="47"/>
        <v>1.1569564131666668</v>
      </c>
      <c r="G244" s="427">
        <v>60</v>
      </c>
      <c r="H244" s="427">
        <f t="shared" si="48"/>
        <v>0.51804018500000004</v>
      </c>
      <c r="I244" s="427">
        <v>1235</v>
      </c>
      <c r="J244" s="427">
        <f t="shared" si="49"/>
        <v>10.662993807916667</v>
      </c>
      <c r="K244" s="445" t="s">
        <v>25</v>
      </c>
    </row>
    <row r="245" spans="1:12" ht="15.75">
      <c r="A245" s="429" t="s">
        <v>5771</v>
      </c>
      <c r="B245" s="430">
        <v>38247354</v>
      </c>
      <c r="C245" s="430">
        <v>1000</v>
      </c>
      <c r="D245" s="428">
        <f t="shared" si="46"/>
        <v>3.1872794999999998</v>
      </c>
      <c r="E245" s="429">
        <v>727</v>
      </c>
      <c r="F245" s="427">
        <f t="shared" si="47"/>
        <v>2.3171521964999999</v>
      </c>
      <c r="G245" s="429">
        <v>650</v>
      </c>
      <c r="H245" s="427">
        <f t="shared" si="48"/>
        <v>2.0717316750000001</v>
      </c>
      <c r="I245" s="429">
        <v>4805</v>
      </c>
      <c r="J245" s="427">
        <f t="shared" si="49"/>
        <v>15.3148779975</v>
      </c>
      <c r="K245" s="445"/>
    </row>
    <row r="246" spans="1:12" ht="15.75">
      <c r="A246" s="427" t="s">
        <v>7050</v>
      </c>
      <c r="B246" s="428">
        <v>79825258</v>
      </c>
      <c r="C246" s="428">
        <v>250</v>
      </c>
      <c r="D246" s="428">
        <f t="shared" si="46"/>
        <v>1.6630262083333334</v>
      </c>
      <c r="E246" s="427">
        <v>197</v>
      </c>
      <c r="F246" s="427">
        <f t="shared" si="47"/>
        <v>1.3104646521666667</v>
      </c>
      <c r="G246" s="427">
        <v>180</v>
      </c>
      <c r="H246" s="427">
        <f t="shared" si="48"/>
        <v>1.1973788700000001</v>
      </c>
      <c r="I246" s="427">
        <v>2370</v>
      </c>
      <c r="J246" s="427">
        <f t="shared" si="49"/>
        <v>15.765488455</v>
      </c>
      <c r="K246" s="445"/>
    </row>
    <row r="247" spans="1:12" ht="15.75">
      <c r="A247" s="429" t="s">
        <v>4354</v>
      </c>
      <c r="B247" s="430">
        <v>6427897</v>
      </c>
      <c r="C247" s="430">
        <v>3000</v>
      </c>
      <c r="D247" s="428">
        <f t="shared" si="46"/>
        <v>1.6069742499999999</v>
      </c>
      <c r="E247" s="429">
        <v>2037</v>
      </c>
      <c r="F247" s="427">
        <f t="shared" si="47"/>
        <v>1.09113551575</v>
      </c>
      <c r="G247" s="429">
        <v>2000</v>
      </c>
      <c r="H247" s="427">
        <f t="shared" si="48"/>
        <v>1.0713161666666666</v>
      </c>
      <c r="I247" s="429">
        <v>18724</v>
      </c>
      <c r="J247" s="427">
        <f t="shared" si="49"/>
        <v>10.029661952333333</v>
      </c>
      <c r="K247" s="445"/>
    </row>
    <row r="248" spans="1:12" ht="15.75">
      <c r="A248" s="427" t="s">
        <v>5798</v>
      </c>
      <c r="B248" s="428">
        <v>131231371</v>
      </c>
      <c r="C248" s="428">
        <v>300</v>
      </c>
      <c r="D248" s="428">
        <f t="shared" si="46"/>
        <v>3.2807842749999998</v>
      </c>
      <c r="E248" s="427">
        <v>173</v>
      </c>
      <c r="F248" s="427">
        <f t="shared" si="47"/>
        <v>1.8919189319166667</v>
      </c>
      <c r="G248" s="427">
        <v>170</v>
      </c>
      <c r="H248" s="427">
        <f t="shared" si="48"/>
        <v>1.8591110891666667</v>
      </c>
      <c r="I248" s="427">
        <v>4454</v>
      </c>
      <c r="J248" s="427">
        <f t="shared" si="49"/>
        <v>48.70871053616667</v>
      </c>
      <c r="K248" s="445"/>
    </row>
    <row r="249" spans="1:12" ht="15.75">
      <c r="A249" s="429" t="s">
        <v>7051</v>
      </c>
      <c r="B249" s="430">
        <v>891943775</v>
      </c>
      <c r="C249" s="430">
        <v>0</v>
      </c>
      <c r="D249" s="428">
        <f t="shared" si="46"/>
        <v>0</v>
      </c>
      <c r="E249" s="430">
        <v>0</v>
      </c>
      <c r="F249" s="427">
        <f t="shared" si="47"/>
        <v>0</v>
      </c>
      <c r="G249" s="430">
        <v>0</v>
      </c>
      <c r="H249" s="427">
        <f t="shared" si="48"/>
        <v>0</v>
      </c>
      <c r="I249" s="429">
        <v>1100</v>
      </c>
      <c r="J249" s="427">
        <f t="shared" si="49"/>
        <v>81.761512708333328</v>
      </c>
      <c r="K249" s="445"/>
    </row>
    <row r="250" spans="1:12" ht="15.75">
      <c r="A250" s="429" t="s">
        <v>7009</v>
      </c>
      <c r="B250" s="430">
        <v>1</v>
      </c>
      <c r="C250" s="430">
        <v>500000000000</v>
      </c>
      <c r="D250" s="428">
        <f>B250*C250/$K$230</f>
        <v>41.666666666666664</v>
      </c>
      <c r="E250" s="430">
        <v>500000000000</v>
      </c>
      <c r="F250" s="427">
        <f t="shared" si="47"/>
        <v>41.666666666666664</v>
      </c>
      <c r="G250" s="430">
        <v>300000000000</v>
      </c>
      <c r="H250" s="427">
        <f t="shared" si="48"/>
        <v>25</v>
      </c>
      <c r="I250" s="429">
        <v>3000000000000</v>
      </c>
      <c r="J250" s="427">
        <f>B250*I250/$K$230</f>
        <v>250</v>
      </c>
      <c r="K250" s="445"/>
      <c r="L250" t="s">
        <v>25</v>
      </c>
    </row>
    <row r="251" spans="1:12" ht="15.75">
      <c r="A251" s="431"/>
      <c r="B251" s="423"/>
      <c r="C251" s="423"/>
      <c r="D251" s="423"/>
      <c r="E251" s="431"/>
      <c r="F251" s="431"/>
      <c r="G251" s="431"/>
      <c r="H251" s="431"/>
      <c r="I251" s="431"/>
      <c r="J251" s="431"/>
      <c r="K251" s="445"/>
    </row>
    <row r="252" spans="1:12" ht="21">
      <c r="A252" s="431"/>
      <c r="B252" s="431"/>
      <c r="C252" s="431"/>
      <c r="D252" s="423">
        <f>SUM(D230:D251)</f>
        <v>260.45023821083339</v>
      </c>
      <c r="E252" s="431"/>
      <c r="F252" s="431">
        <f>SUM(F231:F251)</f>
        <v>179.48450099375</v>
      </c>
      <c r="G252" s="431"/>
      <c r="H252" s="431">
        <f>SUM(H231:H251)</f>
        <v>113.02366218224998</v>
      </c>
      <c r="I252" s="432" t="s">
        <v>4433</v>
      </c>
      <c r="J252" s="432">
        <f>SUM(J230:J250)</f>
        <v>1687.2578700389997</v>
      </c>
      <c r="K252" s="445"/>
    </row>
    <row r="253" spans="1:12" ht="21">
      <c r="A253" s="431"/>
      <c r="B253" s="431"/>
      <c r="C253" s="431"/>
      <c r="D253" s="431" t="s">
        <v>6</v>
      </c>
      <c r="E253" s="431"/>
      <c r="F253" s="431" t="s">
        <v>6</v>
      </c>
      <c r="G253" s="431"/>
      <c r="H253" s="431" t="s">
        <v>6</v>
      </c>
      <c r="I253" s="432" t="s">
        <v>5015</v>
      </c>
      <c r="J253" s="432">
        <v>805</v>
      </c>
      <c r="K253" s="445"/>
    </row>
    <row r="254" spans="1:12" ht="21">
      <c r="A254" s="431"/>
      <c r="B254" s="431"/>
      <c r="C254" s="431"/>
      <c r="D254" s="431"/>
      <c r="E254" s="431"/>
      <c r="F254" s="431"/>
      <c r="G254" s="431"/>
      <c r="H254" s="431"/>
      <c r="I254" s="432" t="s">
        <v>5016</v>
      </c>
      <c r="J254" s="432">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6982</v>
      </c>
    </row>
    <row r="169" spans="4:11">
      <c r="D169" s="18">
        <v>-2500000</v>
      </c>
      <c r="E169" s="235" t="s">
        <v>6983</v>
      </c>
      <c r="H169" t="s">
        <v>25</v>
      </c>
    </row>
    <row r="170" spans="4:11">
      <c r="D170" s="18">
        <v>-2600000</v>
      </c>
      <c r="E170" s="235" t="s">
        <v>6991</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abSelected="1" topLeftCell="J86"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1.9319594210320851E-6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3026462525</v>
      </c>
      <c r="O22" s="97">
        <v>2051839</v>
      </c>
      <c r="P22" s="183">
        <f>P48</f>
        <v>1475</v>
      </c>
      <c r="Q22" s="67">
        <f t="shared" si="6"/>
        <v>26.944713306794021</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7.5511070219940573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20467391.836165428</v>
      </c>
      <c r="G24" s="93">
        <f t="shared" si="0"/>
        <v>259838953.54577321</v>
      </c>
      <c r="H24" s="11"/>
      <c r="I24" s="94"/>
      <c r="J24" s="94"/>
      <c r="K24" s="206"/>
      <c r="L24" s="115"/>
      <c r="M24" s="206" t="s">
        <v>4656</v>
      </c>
      <c r="N24" s="111">
        <f t="shared" si="10"/>
        <v>96935940</v>
      </c>
      <c r="O24" s="97">
        <v>121932</v>
      </c>
      <c r="P24" s="183">
        <f>P52</f>
        <v>795</v>
      </c>
      <c r="Q24" s="67">
        <f t="shared" si="6"/>
        <v>0.86302443557419795</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18740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6992</v>
      </c>
      <c r="L27" s="115">
        <f>-'فروردین 98'!D176</f>
        <v>1786463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40674556.836165428</v>
      </c>
      <c r="M28" s="187" t="s">
        <v>4415</v>
      </c>
      <c r="N28" s="111">
        <v>169</v>
      </c>
      <c r="O28" s="253"/>
      <c r="P28" s="97" t="s">
        <v>25</v>
      </c>
      <c r="Q28" s="67">
        <f t="shared" si="6"/>
        <v>1.5046135583153106E-6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0.33478987128336651</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3100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18740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489862250</v>
      </c>
      <c r="O33" s="67">
        <v>332110</v>
      </c>
      <c r="P33" s="97">
        <f>P48</f>
        <v>1475</v>
      </c>
      <c r="Q33" s="67">
        <f t="shared" si="6"/>
        <v>4.3612626216381312</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O22-65000</f>
        <v>1986839</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N44*100/$S$180</f>
        <v>5.5198840600916717E-7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7035</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18740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4330144225</v>
      </c>
      <c r="O48" s="97">
        <v>2935691</v>
      </c>
      <c r="P48" s="97">
        <v>1475</v>
      </c>
      <c r="Q48" s="67">
        <f t="shared" si="26"/>
        <v>38.551442073347587</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-23360000</v>
      </c>
      <c r="M49" s="19" t="s">
        <v>5857</v>
      </c>
      <c r="N49" s="111">
        <f>O49*P49</f>
        <v>0</v>
      </c>
      <c r="O49" s="97">
        <v>0</v>
      </c>
      <c r="P49" s="97">
        <v>3100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-11680000</v>
      </c>
      <c r="M51" s="19" t="s">
        <v>5267</v>
      </c>
      <c r="N51" s="111">
        <f t="shared" si="29"/>
        <v>2303714000</v>
      </c>
      <c r="O51" s="97">
        <v>1645510</v>
      </c>
      <c r="P51" s="97">
        <v>1400</v>
      </c>
      <c r="Q51" s="67">
        <f t="shared" si="26"/>
        <v>20.510055141306495</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111753945</v>
      </c>
      <c r="O52" s="97">
        <v>140571</v>
      </c>
      <c r="P52" s="97">
        <v>795</v>
      </c>
      <c r="Q52" s="67">
        <f t="shared" si="26"/>
        <v>0.99494970912558289</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11680000</v>
      </c>
      <c r="O53" s="67">
        <v>10</v>
      </c>
      <c r="P53" s="67">
        <v>1168000</v>
      </c>
      <c r="Q53" s="67">
        <f t="shared" si="26"/>
        <v>0.10398749326108182</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27500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7061</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O48-27000</f>
        <v>2908691</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191262</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-126401721.27706335</v>
      </c>
      <c r="P61" t="s">
        <v>25</v>
      </c>
      <c r="R61" s="167"/>
      <c r="S61" s="206" t="s">
        <v>955</v>
      </c>
      <c r="T61" s="194">
        <f>T107-1085</f>
        <v>45</v>
      </c>
      <c r="U61" s="206" t="s">
        <v>6984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7026</v>
      </c>
      <c r="T62" s="194">
        <f>T107-1121</f>
        <v>9</v>
      </c>
      <c r="U62" s="206" t="s">
        <v>7027</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7029</v>
      </c>
      <c r="T63" s="194">
        <f>T107-1122</f>
        <v>8</v>
      </c>
      <c r="U63" s="206" t="s">
        <v>7030</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11086101949.722937</v>
      </c>
      <c r="P64" t="s">
        <v>25</v>
      </c>
      <c r="R64" s="167"/>
      <c r="S64" s="206" t="s">
        <v>7031</v>
      </c>
      <c r="T64" s="194">
        <f>T107-1123</f>
        <v>7</v>
      </c>
      <c r="U64" s="206" t="s">
        <v>7032</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20467391.836165428</v>
      </c>
      <c r="M65" s="166"/>
      <c r="N65" s="111">
        <f>N16+N17+N37</f>
        <v>141053</v>
      </c>
      <c r="P65" t="s">
        <v>25</v>
      </c>
      <c r="R65" s="167"/>
      <c r="S65" s="206" t="s">
        <v>7033</v>
      </c>
      <c r="T65" s="194">
        <f>T107-1124</f>
        <v>6</v>
      </c>
      <c r="U65" s="206" t="s">
        <v>7034</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45380928.836165428</v>
      </c>
      <c r="M66" s="111"/>
      <c r="N66" s="166"/>
      <c r="O66" s="113"/>
      <c r="P66" s="113" t="s">
        <v>25</v>
      </c>
      <c r="Q66" s="113"/>
      <c r="R66" s="167"/>
      <c r="S66" s="206" t="s">
        <v>7059</v>
      </c>
      <c r="T66" s="194">
        <f>T107-1136</f>
        <v>-6</v>
      </c>
      <c r="U66" s="206" t="s">
        <v>7060</v>
      </c>
      <c r="V66" s="206">
        <v>782</v>
      </c>
      <c r="W66" s="206">
        <f t="shared" si="34"/>
        <v>790.28705753424674</v>
      </c>
      <c r="X66" s="32">
        <f t="shared" si="35"/>
        <v>806.09279868493172</v>
      </c>
      <c r="Y66" s="32">
        <f t="shared" si="36"/>
        <v>821.89853983561659</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120467391.83616543</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2169303516.6758094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6630</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6631</v>
      </c>
      <c r="T94" s="194">
        <f>T107-1067</f>
        <v>63</v>
      </c>
      <c r="U94" s="187" t="s">
        <v>6632</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6650</v>
      </c>
      <c r="T95" s="194">
        <f>T94-13</f>
        <v>50</v>
      </c>
      <c r="U95" s="187" t="s">
        <v>6651</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494553216.7462979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7918.6440677966102</v>
      </c>
      <c r="G106" s="196">
        <f>P48</f>
        <v>1475</v>
      </c>
      <c r="H106" s="196" t="s">
        <v>4699</v>
      </c>
      <c r="I106" s="196" t="s">
        <v>5286</v>
      </c>
      <c r="J106" s="207" t="s">
        <v>4216</v>
      </c>
      <c r="K106" s="196">
        <v>210</v>
      </c>
      <c r="L106" s="208">
        <f t="shared" ref="L106:L111" si="47">K106*$L$114</f>
        <v>2452800000</v>
      </c>
      <c r="M106" s="208">
        <f>N22+N33+N48</f>
        <v>7846469000</v>
      </c>
      <c r="N106" s="181">
        <f>L106-M106</f>
        <v>-5393669000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385440000</v>
      </c>
      <c r="M107" s="1">
        <f>N51+N30+N23</f>
        <v>3189467400</v>
      </c>
      <c r="N107" s="111">
        <f t="shared" ref="N107:N109" si="48">L107-M107</f>
        <v>-2804027400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18740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11680000</v>
      </c>
      <c r="M110" s="208">
        <f>N52+N24+N45+N29+N21</f>
        <v>208689885</v>
      </c>
      <c r="N110" s="181">
        <f>L110-M110</f>
        <v>-197009885</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719</v>
      </c>
      <c r="L111" s="238">
        <f t="shared" si="47"/>
        <v>8397920000</v>
      </c>
      <c r="M111" s="238">
        <v>0</v>
      </c>
      <c r="N111" s="84">
        <f>L111-M111</f>
        <v>8397920000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963</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11680000</v>
      </c>
      <c r="M114" s="1">
        <f>K114*L114</f>
        <v>0</v>
      </c>
      <c r="N114" s="111">
        <f>SUM(N106:N112)-M114</f>
        <v>-1786733</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7018</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6615</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6614</v>
      </c>
      <c r="T122" s="206">
        <f>T121-3</f>
        <v>108</v>
      </c>
      <c r="U122" s="206" t="s">
        <v>6990</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6622</v>
      </c>
      <c r="T123" s="206">
        <f>T122-5</f>
        <v>103</v>
      </c>
      <c r="U123" s="206" t="s">
        <v>6981</v>
      </c>
      <c r="V123" s="206">
        <v>1702</v>
      </c>
      <c r="W123" s="97">
        <f t="shared" si="49"/>
        <v>1862.3517150684934</v>
      </c>
      <c r="X123" s="32">
        <f t="shared" ref="X123:X140" si="67">W123*(1+$X$19/100)</f>
        <v>1899.5987493698633</v>
      </c>
      <c r="Y123" s="32">
        <f t="shared" ref="Y123:Y140"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6985</v>
      </c>
      <c r="T124" s="206">
        <f>T107-1086</f>
        <v>44</v>
      </c>
      <c r="U124" s="206" t="s">
        <v>6987</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6993</v>
      </c>
      <c r="T125" s="206">
        <f>T107-1100</f>
        <v>30</v>
      </c>
      <c r="U125" s="206" t="s">
        <v>6995</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6996</v>
      </c>
      <c r="T126" s="206">
        <f>T107-1102</f>
        <v>28</v>
      </c>
      <c r="U126" s="206" t="s">
        <v>6997</v>
      </c>
      <c r="V126" s="206">
        <v>1541</v>
      </c>
      <c r="W126" s="97">
        <f t="shared" si="49"/>
        <v>1597.5230356164384</v>
      </c>
      <c r="X126" s="32">
        <f t="shared" si="67"/>
        <v>1629.4734963287672</v>
      </c>
      <c r="Y126" s="32">
        <f t="shared" si="68"/>
        <v>1661.4239570410959</v>
      </c>
      <c r="Z126" s="422"/>
      <c r="AA126" s="422">
        <v>227276</v>
      </c>
      <c r="AB126" s="422"/>
      <c r="AC126" s="94" t="s">
        <v>25</v>
      </c>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6998</v>
      </c>
      <c r="T127" s="206">
        <f>T107-1103</f>
        <v>27</v>
      </c>
      <c r="U127" s="206" t="s">
        <v>7037</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7021</v>
      </c>
      <c r="T128" s="206">
        <f>T107-1113</f>
        <v>17</v>
      </c>
      <c r="U128" s="206" t="s">
        <v>7022</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7023</v>
      </c>
      <c r="T129" s="206">
        <f>T107-1114</f>
        <v>16</v>
      </c>
      <c r="U129" s="206" t="s">
        <v>7024</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7025</v>
      </c>
      <c r="T130" s="206">
        <f>T107-1117</f>
        <v>13</v>
      </c>
      <c r="U130" s="206" t="s">
        <v>7045</v>
      </c>
      <c r="V130" s="206">
        <v>1496</v>
      </c>
      <c r="W130" s="97">
        <f t="shared" si="49"/>
        <v>1533.6582136986303</v>
      </c>
      <c r="X130" s="32">
        <f t="shared" si="67"/>
        <v>1564.3313779726029</v>
      </c>
      <c r="Y130" s="32">
        <f t="shared" si="68"/>
        <v>1595.0045422465755</v>
      </c>
      <c r="Z130" s="440">
        <v>83166</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7043</v>
      </c>
      <c r="T131" s="206">
        <f>T107-1130</f>
        <v>0</v>
      </c>
      <c r="U131" s="206" t="s">
        <v>7058</v>
      </c>
      <c r="V131" s="206">
        <v>806</v>
      </c>
      <c r="W131" s="97">
        <f t="shared" ref="W131:W139" si="70">V131*(1+$S$103+$R$15*T131/36500)</f>
        <v>818.25120000000004</v>
      </c>
      <c r="X131" s="32">
        <f t="shared" ref="X131:X139" si="71">W131*(1+$X$19/100)</f>
        <v>834.6162240000001</v>
      </c>
      <c r="Y131" s="32">
        <f t="shared" ref="Y131:Y139" si="72">W131*(1+$Y$19/100)</f>
        <v>850.98124800000005</v>
      </c>
      <c r="Z131" s="444"/>
      <c r="AA131" s="444"/>
      <c r="AB131" s="444">
        <v>89880</v>
      </c>
      <c r="AI131" s="20">
        <v>111</v>
      </c>
      <c r="AJ131" s="115" t="s">
        <v>4591</v>
      </c>
      <c r="AK131" s="115">
        <v>4750000</v>
      </c>
      <c r="AL131" s="20">
        <v>0</v>
      </c>
      <c r="AM131" s="97">
        <f t="shared" si="69"/>
        <v>887</v>
      </c>
      <c r="AN131" s="115">
        <f t="shared" si="66"/>
        <v>4213250000</v>
      </c>
      <c r="AO131" s="20"/>
      <c r="AR131" t="s">
        <v>25</v>
      </c>
    </row>
    <row r="132" spans="7:44">
      <c r="R132" s="167"/>
      <c r="S132" s="206" t="s">
        <v>7043</v>
      </c>
      <c r="T132" s="206">
        <f>T107-1130</f>
        <v>0</v>
      </c>
      <c r="U132" s="206" t="s">
        <v>7044</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t="s">
        <v>7054</v>
      </c>
      <c r="T133" s="206">
        <f>T107-1134</f>
        <v>-4</v>
      </c>
      <c r="U133" s="206" t="s">
        <v>7055</v>
      </c>
      <c r="V133" s="206">
        <v>1495</v>
      </c>
      <c r="W133" s="97">
        <f t="shared" si="70"/>
        <v>1513.136602739726</v>
      </c>
      <c r="X133" s="32">
        <f t="shared" si="71"/>
        <v>1543.3993347945204</v>
      </c>
      <c r="Y133" s="32">
        <f t="shared" si="72"/>
        <v>1573.6620668493151</v>
      </c>
      <c r="Z133" s="449">
        <v>50661</v>
      </c>
      <c r="AA133" s="449"/>
      <c r="AB133" s="449"/>
      <c r="AI133" s="20">
        <v>113</v>
      </c>
      <c r="AJ133" s="115" t="s">
        <v>4593</v>
      </c>
      <c r="AK133" s="115">
        <v>-980000</v>
      </c>
      <c r="AL133" s="20">
        <v>0</v>
      </c>
      <c r="AM133" s="97">
        <f t="shared" si="69"/>
        <v>886</v>
      </c>
      <c r="AN133" s="115">
        <f t="shared" si="66"/>
        <v>-868280000</v>
      </c>
      <c r="AO133" s="20"/>
    </row>
    <row r="134" spans="7:44">
      <c r="R134" s="167"/>
      <c r="S134" s="206" t="s">
        <v>7057</v>
      </c>
      <c r="T134" s="206">
        <f>T107-1135</f>
        <v>-5</v>
      </c>
      <c r="U134" s="206" t="s">
        <v>7064</v>
      </c>
      <c r="V134" s="206">
        <v>1439</v>
      </c>
      <c r="W134" s="97">
        <f t="shared" si="70"/>
        <v>1455.3533479452055</v>
      </c>
      <c r="X134" s="32">
        <f t="shared" si="71"/>
        <v>1484.4604149041097</v>
      </c>
      <c r="Y134" s="32">
        <f t="shared" si="72"/>
        <v>1513.5674818630139</v>
      </c>
      <c r="Z134" s="449">
        <v>97691</v>
      </c>
      <c r="AA134" s="449"/>
      <c r="AB134" s="449"/>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t="s">
        <v>25</v>
      </c>
      <c r="S135" s="206" t="s">
        <v>7062</v>
      </c>
      <c r="T135" s="206">
        <f>T107-1137</f>
        <v>-7</v>
      </c>
      <c r="U135" s="206" t="s">
        <v>7063</v>
      </c>
      <c r="V135" s="206">
        <v>792</v>
      </c>
      <c r="W135" s="97">
        <f t="shared" si="70"/>
        <v>799.78546849315069</v>
      </c>
      <c r="X135" s="32">
        <f t="shared" si="71"/>
        <v>815.78117786301368</v>
      </c>
      <c r="Y135" s="32">
        <f t="shared" si="72"/>
        <v>831.77688723287679</v>
      </c>
      <c r="Z135" s="449"/>
      <c r="AA135" s="449"/>
      <c r="AB135" s="449">
        <v>50691</v>
      </c>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9"/>
      <c r="AA136" s="449"/>
      <c r="AB136" s="449"/>
      <c r="AI136" s="87">
        <v>116</v>
      </c>
      <c r="AJ136" s="88" t="s">
        <v>4609</v>
      </c>
      <c r="AK136" s="88">
        <v>4291628</v>
      </c>
      <c r="AL136" s="87">
        <v>2</v>
      </c>
      <c r="AM136" s="87">
        <f t="shared" si="69"/>
        <v>881</v>
      </c>
      <c r="AN136" s="88">
        <f t="shared" si="66"/>
        <v>3780924268</v>
      </c>
      <c r="AO136" s="87" t="s">
        <v>4610</v>
      </c>
    </row>
    <row r="137" spans="7:44">
      <c r="G137" s="32">
        <f>(N32+N23+N25+N30+N46+N47+N24+N31+N49+N51)/P48</f>
        <v>2228070.0610169494</v>
      </c>
      <c r="H137" s="276" t="s">
        <v>5440</v>
      </c>
      <c r="I137" s="32" t="e">
        <f>(N32+N48+N46+N33+N25+N22+N23+N24+N30+N31+#REF!+N49+N51)/P47</f>
        <v>#REF!</v>
      </c>
      <c r="J137" s="112"/>
      <c r="K137" s="94"/>
      <c r="L137" s="94" t="s">
        <v>25</v>
      </c>
      <c r="M137" s="94"/>
      <c r="R137" s="167"/>
      <c r="S137" s="206"/>
      <c r="T137" s="206"/>
      <c r="U137" s="206"/>
      <c r="V137" s="206"/>
      <c r="W137" s="97"/>
      <c r="X137" s="32"/>
      <c r="Y137" s="32"/>
      <c r="Z137" s="449"/>
      <c r="AA137" s="449"/>
      <c r="AB137" s="449"/>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 t="shared" si="70"/>
        <v>0</v>
      </c>
      <c r="X138" s="32">
        <f t="shared" si="71"/>
        <v>0</v>
      </c>
      <c r="Y138" s="32">
        <f t="shared" si="72"/>
        <v>0</v>
      </c>
      <c r="Z138" s="425"/>
      <c r="AA138" s="425"/>
      <c r="AB138" s="425"/>
      <c r="AI138" s="119">
        <v>118</v>
      </c>
      <c r="AJ138" s="77" t="s">
        <v>4620</v>
      </c>
      <c r="AK138" s="77">
        <v>8739459</v>
      </c>
      <c r="AL138" s="119">
        <v>2</v>
      </c>
      <c r="AM138" s="119">
        <f t="shared" si="69"/>
        <v>874</v>
      </c>
      <c r="AN138" s="77">
        <f t="shared" si="66"/>
        <v>7638287166</v>
      </c>
      <c r="AO138" s="119" t="s">
        <v>4581</v>
      </c>
    </row>
    <row r="139" spans="7:44">
      <c r="G139" s="32">
        <f>(X151+X152)/P48</f>
        <v>393047.71667972155</v>
      </c>
      <c r="H139" s="32" t="s">
        <v>5421</v>
      </c>
      <c r="I139" s="32">
        <f>(X151+X152)/P47</f>
        <v>21713.310191108212</v>
      </c>
      <c r="J139" s="112"/>
      <c r="K139" s="94"/>
      <c r="L139" s="94"/>
      <c r="M139" s="94"/>
      <c r="N139" s="94"/>
      <c r="O139" s="94"/>
      <c r="R139" s="167"/>
      <c r="S139" s="206"/>
      <c r="T139" s="206" t="s">
        <v>25</v>
      </c>
      <c r="U139" s="206" t="s">
        <v>25</v>
      </c>
      <c r="V139" s="206"/>
      <c r="W139" s="97" t="e">
        <f t="shared" si="70"/>
        <v>#VALUE!</v>
      </c>
      <c r="X139" s="32" t="e">
        <f t="shared" si="71"/>
        <v>#VALUE!</v>
      </c>
      <c r="Y139" s="32" t="e">
        <f t="shared" si="72"/>
        <v>#VALUE!</v>
      </c>
      <c r="Z139" s="94"/>
      <c r="AA139" s="94" t="s">
        <v>25</v>
      </c>
      <c r="AB139" s="355"/>
      <c r="AI139" s="119">
        <v>119</v>
      </c>
      <c r="AJ139" s="77" t="s">
        <v>4621</v>
      </c>
      <c r="AK139" s="77">
        <v>17595278</v>
      </c>
      <c r="AL139" s="119">
        <v>1</v>
      </c>
      <c r="AM139" s="119">
        <f t="shared" si="69"/>
        <v>872</v>
      </c>
      <c r="AN139" s="77">
        <f t="shared" si="66"/>
        <v>15343082416</v>
      </c>
      <c r="AO139" s="119" t="s">
        <v>4623</v>
      </c>
      <c r="AR139" t="s">
        <v>25</v>
      </c>
    </row>
    <row r="140" spans="7:44">
      <c r="G140" s="32">
        <f>X149/P48</f>
        <v>2629555.3736008443</v>
      </c>
      <c r="H140" s="32" t="s">
        <v>480</v>
      </c>
      <c r="I140" s="32">
        <f>X149/P47</f>
        <v>145265.69947794927</v>
      </c>
      <c r="J140" s="112"/>
      <c r="K140" s="94"/>
      <c r="L140" s="94"/>
      <c r="N140" s="94"/>
      <c r="R140" s="167"/>
      <c r="S140" s="166"/>
      <c r="T140" s="166"/>
      <c r="U140" s="166" t="s">
        <v>25</v>
      </c>
      <c r="V140" s="166"/>
      <c r="W140" s="97">
        <f>V140*(1+$S$103+$R$15*T140/36500)</f>
        <v>0</v>
      </c>
      <c r="X140" s="32">
        <f t="shared" si="67"/>
        <v>0</v>
      </c>
      <c r="Y140" s="32">
        <f t="shared" si="68"/>
        <v>0</v>
      </c>
      <c r="Z140" t="s">
        <v>25</v>
      </c>
      <c r="AA140" t="s">
        <v>25</v>
      </c>
      <c r="AB140" s="94"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R141" s="111">
        <f>SUM(N46:N53)-SUM(R107:R140)</f>
        <v>4879575151.3686695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9"/>
        <v>847</v>
      </c>
      <c r="AN142" s="115">
        <f t="shared" si="66"/>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9"/>
        <v>844</v>
      </c>
      <c r="AN143" s="115">
        <f t="shared" si="66"/>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9"/>
        <v>843</v>
      </c>
      <c r="AN144" s="115">
        <f t="shared" si="66"/>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U147" t="s">
        <v>25</v>
      </c>
      <c r="W147" s="94"/>
      <c r="X147"/>
      <c r="Y147" t="s">
        <v>25</v>
      </c>
      <c r="Z147" t="s">
        <v>25</v>
      </c>
      <c r="AA147" t="s">
        <v>25</v>
      </c>
      <c r="AB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s="94"/>
      <c r="S149" s="94"/>
      <c r="T149" s="94"/>
      <c r="U149" s="120">
        <f>W150-W155</f>
        <v>2607602</v>
      </c>
      <c r="V149" s="279" t="s">
        <v>743</v>
      </c>
      <c r="W149" s="279">
        <v>1493085</v>
      </c>
      <c r="X149" s="88">
        <f>W149*$U$524</f>
        <v>3878594176.0612454</v>
      </c>
      <c r="Y149">
        <f>X149*100/$X$155</f>
        <v>34.531274464523968</v>
      </c>
      <c r="Z149" t="s">
        <v>25</v>
      </c>
      <c r="AA149" t="s">
        <v>25</v>
      </c>
      <c r="AB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U150" s="120"/>
      <c r="V150" s="279" t="s">
        <v>4407</v>
      </c>
      <c r="W150" s="279">
        <v>2607602</v>
      </c>
      <c r="X150" s="88">
        <f>W150*$U$524</f>
        <v>6773780414.8361654</v>
      </c>
      <c r="Y150" s="94">
        <f>X150*100/$X$155</f>
        <v>60.307229900669846</v>
      </c>
      <c r="Z150" t="s">
        <v>25</v>
      </c>
      <c r="AA150" t="s">
        <v>25</v>
      </c>
      <c r="AB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t="s">
        <v>25</v>
      </c>
      <c r="T151" t="s">
        <v>25</v>
      </c>
      <c r="U151" s="94">
        <f>W149-W155</f>
        <v>1493085</v>
      </c>
      <c r="V151" s="279" t="s">
        <v>4406</v>
      </c>
      <c r="W151" s="279">
        <v>48659</v>
      </c>
      <c r="X151" s="88">
        <f>W151*$U$524</f>
        <v>126401721.27706335</v>
      </c>
      <c r="Y151" s="94">
        <f>X151*100/$X$155</f>
        <v>1.1253594297506651</v>
      </c>
      <c r="Z151" t="s">
        <v>25</v>
      </c>
      <c r="AB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t="s">
        <v>25</v>
      </c>
      <c r="U152" s="94"/>
      <c r="V152" s="279" t="s">
        <v>1069</v>
      </c>
      <c r="W152" s="279">
        <v>174517</v>
      </c>
      <c r="X152" s="88">
        <f>W152*$U$524</f>
        <v>453343660.82552594</v>
      </c>
      <c r="Y152" s="94">
        <f>X152*100/$X$155</f>
        <v>4.0361362050555263</v>
      </c>
      <c r="AA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U153" s="94"/>
      <c r="V153" s="279"/>
      <c r="W153" s="279"/>
      <c r="X153" s="279"/>
      <c r="Y153" s="113"/>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t="s">
        <v>25</v>
      </c>
      <c r="T154" t="s">
        <v>25</v>
      </c>
      <c r="U154" s="94"/>
      <c r="V154" s="87"/>
      <c r="W154" s="87">
        <f>SUM(W149:W152)</f>
        <v>4323863</v>
      </c>
      <c r="X154" s="87"/>
      <c r="Y154" s="112" t="s">
        <v>25</v>
      </c>
      <c r="Z154" t="s">
        <v>25</v>
      </c>
      <c r="AA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t="s">
        <v>25</v>
      </c>
      <c r="S155" s="94"/>
      <c r="T155" s="94" t="s">
        <v>25</v>
      </c>
      <c r="U155" s="94" t="s">
        <v>25</v>
      </c>
      <c r="V155" s="87"/>
      <c r="W155" s="87">
        <f>W154-V521</f>
        <v>0</v>
      </c>
      <c r="X155" s="140">
        <f>SUM(X149:X152)</f>
        <v>11232119973</v>
      </c>
      <c r="Y155" s="94"/>
      <c r="Z155" t="s">
        <v>25</v>
      </c>
      <c r="AA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V156" s="87"/>
      <c r="W156" s="87" t="s">
        <v>5816</v>
      </c>
      <c r="X156" s="140">
        <f>S167-X152</f>
        <v>74122589.174474061</v>
      </c>
      <c r="Y156" s="94"/>
      <c r="Z156" t="s">
        <v>25</v>
      </c>
      <c r="AA156" t="s">
        <v>25</v>
      </c>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R157" s="94" t="s">
        <v>25</v>
      </c>
      <c r="S157" s="94"/>
      <c r="T157" s="94"/>
      <c r="U157" s="94" t="s">
        <v>25</v>
      </c>
      <c r="V157" s="87"/>
      <c r="W157" s="87" t="s">
        <v>5815</v>
      </c>
      <c r="X157" s="140">
        <f>X151-X156</f>
        <v>52279132.102589294</v>
      </c>
      <c r="Y157" s="94"/>
      <c r="AA157" t="s">
        <v>25</v>
      </c>
      <c r="AB157" t="s">
        <v>25</v>
      </c>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-40674556.836165428</v>
      </c>
      <c r="Y158" s="94"/>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6">AM160+AL159</f>
        <v>769</v>
      </c>
      <c r="AN159" s="115">
        <f t="shared" ref="AN159:AN168" si="77">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6"/>
        <v>769</v>
      </c>
      <c r="AN160" s="115">
        <f t="shared" si="77"/>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6"/>
        <v>769</v>
      </c>
      <c r="AN161" s="115">
        <f t="shared" si="77"/>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6"/>
        <v>769</v>
      </c>
      <c r="AN162" s="115">
        <f t="shared" si="77"/>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6"/>
        <v>769</v>
      </c>
      <c r="AN163" s="115">
        <f t="shared" si="77"/>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8">V164*W164</f>
        <v>239024000</v>
      </c>
      <c r="Y164" s="97"/>
      <c r="AI164" s="97">
        <v>144</v>
      </c>
      <c r="AJ164" s="111" t="s">
        <v>4894</v>
      </c>
      <c r="AK164" s="111">
        <v>2000000</v>
      </c>
      <c r="AL164" s="97">
        <v>0</v>
      </c>
      <c r="AM164" s="20">
        <f t="shared" si="76"/>
        <v>768</v>
      </c>
      <c r="AN164" s="115">
        <f t="shared" si="77"/>
        <v>1536000000</v>
      </c>
      <c r="AO164" s="20"/>
    </row>
    <row r="165" spans="7:44">
      <c r="G165" s="206" t="s">
        <v>5427</v>
      </c>
      <c r="H165" s="1">
        <v>70370000</v>
      </c>
      <c r="I165" t="s">
        <v>4082</v>
      </c>
      <c r="O165" s="94"/>
      <c r="P165" s="112"/>
      <c r="Q165" s="112"/>
      <c r="R165" s="36" t="s">
        <v>4510</v>
      </c>
      <c r="S165" s="93">
        <f>SUM(N45:N53)</f>
        <v>6757292170</v>
      </c>
      <c r="U165" s="166" t="s">
        <v>4399</v>
      </c>
      <c r="V165" s="54">
        <v>5904</v>
      </c>
      <c r="W165" s="111">
        <v>237.148</v>
      </c>
      <c r="X165" s="111">
        <f t="shared" si="78"/>
        <v>1400121.7919999999</v>
      </c>
      <c r="Y165" s="97" t="s">
        <v>743</v>
      </c>
      <c r="AA165" t="s">
        <v>25</v>
      </c>
      <c r="AI165" s="97">
        <v>145</v>
      </c>
      <c r="AJ165" s="111" t="s">
        <v>4894</v>
      </c>
      <c r="AK165" s="111">
        <v>360000</v>
      </c>
      <c r="AL165" s="97">
        <v>1</v>
      </c>
      <c r="AM165" s="20">
        <f t="shared" si="76"/>
        <v>768</v>
      </c>
      <c r="AN165" s="115">
        <f t="shared" si="77"/>
        <v>276480000</v>
      </c>
      <c r="AO165" s="20"/>
    </row>
    <row r="166" spans="7:44">
      <c r="G166" s="206" t="s">
        <v>5428</v>
      </c>
      <c r="H166" s="1">
        <v>1215000</v>
      </c>
      <c r="I166" t="s">
        <v>5454</v>
      </c>
      <c r="P166" s="112"/>
      <c r="Q166" s="112"/>
      <c r="R166" s="97" t="s">
        <v>4408</v>
      </c>
      <c r="S166" s="93">
        <f>SUM(N21:N26)</f>
        <v>3971547865</v>
      </c>
      <c r="U166" s="166" t="s">
        <v>4205</v>
      </c>
      <c r="V166" s="166">
        <v>1000</v>
      </c>
      <c r="W166" s="111">
        <v>247.393</v>
      </c>
      <c r="X166" s="111">
        <f t="shared" si="78"/>
        <v>247393</v>
      </c>
      <c r="Y166" s="97" t="s">
        <v>743</v>
      </c>
      <c r="Z166" t="s">
        <v>25</v>
      </c>
      <c r="AI166" s="97">
        <v>146</v>
      </c>
      <c r="AJ166" s="111" t="s">
        <v>4895</v>
      </c>
      <c r="AK166" s="111">
        <v>3000000</v>
      </c>
      <c r="AL166" s="97">
        <v>1</v>
      </c>
      <c r="AM166" s="20">
        <f t="shared" si="76"/>
        <v>767</v>
      </c>
      <c r="AN166" s="115">
        <f t="shared" si="77"/>
        <v>2301000000</v>
      </c>
      <c r="AO166" s="20"/>
    </row>
    <row r="167" spans="7:44">
      <c r="G167" s="206" t="s">
        <v>5429</v>
      </c>
      <c r="H167" s="1">
        <v>15350000</v>
      </c>
      <c r="I167" s="297" t="s">
        <v>5455</v>
      </c>
      <c r="P167" s="112"/>
      <c r="Q167" s="112"/>
      <c r="R167" s="97" t="s">
        <v>4409</v>
      </c>
      <c r="S167" s="93">
        <f>SUM(N29:N33)</f>
        <v>527466250</v>
      </c>
      <c r="U167" s="386" t="s">
        <v>4443</v>
      </c>
      <c r="V167" s="386">
        <v>8071</v>
      </c>
      <c r="W167" s="90">
        <v>247.797</v>
      </c>
      <c r="X167" s="90">
        <f t="shared" si="78"/>
        <v>1999969.5870000001</v>
      </c>
      <c r="Y167" s="89" t="s">
        <v>4406</v>
      </c>
      <c r="Z167" t="s">
        <v>25</v>
      </c>
      <c r="AI167" s="97">
        <v>147</v>
      </c>
      <c r="AJ167" s="111" t="s">
        <v>4893</v>
      </c>
      <c r="AK167" s="111">
        <v>-658226</v>
      </c>
      <c r="AL167" s="97">
        <v>1</v>
      </c>
      <c r="AM167" s="20">
        <f t="shared" si="76"/>
        <v>766</v>
      </c>
      <c r="AN167" s="115">
        <f t="shared" si="77"/>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8"/>
        <v>13299760.584000001</v>
      </c>
      <c r="Y168" s="97" t="s">
        <v>452</v>
      </c>
      <c r="Z168" t="s">
        <v>25</v>
      </c>
      <c r="AI168" s="97">
        <v>148</v>
      </c>
      <c r="AJ168" s="111" t="s">
        <v>4898</v>
      </c>
      <c r="AK168" s="111">
        <v>1000000</v>
      </c>
      <c r="AL168" s="97">
        <v>15</v>
      </c>
      <c r="AM168" s="20">
        <f t="shared" si="76"/>
        <v>765</v>
      </c>
      <c r="AN168" s="115">
        <f t="shared" si="77"/>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8"/>
        <v>999869.07000000007</v>
      </c>
      <c r="Y169" s="89" t="s">
        <v>4406</v>
      </c>
      <c r="AB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v>3047100.3041699999</v>
      </c>
      <c r="Q170" s="112"/>
      <c r="R170" s="97" t="s">
        <v>4412</v>
      </c>
      <c r="S170" s="93">
        <f>N28</f>
        <v>169</v>
      </c>
      <c r="U170" s="166" t="s">
        <v>4451</v>
      </c>
      <c r="V170" s="166">
        <v>9301</v>
      </c>
      <c r="W170" s="111">
        <v>243.93</v>
      </c>
      <c r="X170" s="111">
        <f t="shared" si="78"/>
        <v>2268792.9300000002</v>
      </c>
      <c r="Y170" s="97" t="s">
        <v>452</v>
      </c>
      <c r="AA170" t="s">
        <v>25</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t="s">
        <v>25</v>
      </c>
      <c r="U171" s="386" t="s">
        <v>4455</v>
      </c>
      <c r="V171" s="386">
        <v>8334</v>
      </c>
      <c r="W171" s="90">
        <v>239.97</v>
      </c>
      <c r="X171" s="90">
        <f t="shared" si="78"/>
        <v>1999909.98</v>
      </c>
      <c r="Y171" s="89" t="s">
        <v>4406</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8"/>
        <v>6779621.4499999993</v>
      </c>
      <c r="Y172" s="97" t="s">
        <v>743</v>
      </c>
      <c r="Z172" s="120" t="s">
        <v>25</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f>P170+S173</f>
        <v>3046865.3041699999</v>
      </c>
      <c r="Q173" s="112"/>
      <c r="R173" s="97" t="s">
        <v>6493</v>
      </c>
      <c r="S173" s="93">
        <v>-235</v>
      </c>
      <c r="T173" s="94"/>
      <c r="U173" s="386" t="s">
        <v>977</v>
      </c>
      <c r="V173" s="386">
        <v>12337</v>
      </c>
      <c r="W173" s="90">
        <v>243.16300000000001</v>
      </c>
      <c r="X173" s="90">
        <f t="shared" si="78"/>
        <v>2999901.9310000003</v>
      </c>
      <c r="Y173" s="89" t="s">
        <v>4406</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t="s">
        <v>6989</v>
      </c>
      <c r="S174" s="93">
        <f>-(10*P53+8479*P48)</f>
        <v>-24186525</v>
      </c>
      <c r="T174" s="94"/>
      <c r="U174" s="166" t="s">
        <v>4528</v>
      </c>
      <c r="V174" s="166">
        <v>-16118</v>
      </c>
      <c r="W174" s="111">
        <v>248.17</v>
      </c>
      <c r="X174" s="111">
        <f t="shared" si="78"/>
        <v>-4000004.0599999996</v>
      </c>
      <c r="Y174" s="97" t="s">
        <v>743</v>
      </c>
      <c r="Z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36"/>
      <c r="S175" s="93"/>
      <c r="T175" s="113" t="s">
        <v>25</v>
      </c>
      <c r="U175" s="166" t="s">
        <v>4549</v>
      </c>
      <c r="V175" s="166">
        <v>101681</v>
      </c>
      <c r="W175" s="111">
        <v>246.5711</v>
      </c>
      <c r="X175" s="111">
        <f t="shared" si="78"/>
        <v>25071596.019099999</v>
      </c>
      <c r="Y175" s="97" t="s">
        <v>452</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8"/>
        <v>16726831.386</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8"/>
        <v>42236971.402499996</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8"/>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8"/>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11232119973</v>
      </c>
      <c r="U180" s="166" t="s">
        <v>4559</v>
      </c>
      <c r="V180" s="166">
        <v>79720</v>
      </c>
      <c r="W180" s="111">
        <v>246.6568</v>
      </c>
      <c r="X180" s="111">
        <f t="shared" si="78"/>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8"/>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8"/>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8"/>
        <v>3000103.5610799999</v>
      </c>
      <c r="Y183" s="89" t="s">
        <v>4406</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8"/>
        <v>6550390.2617999995</v>
      </c>
      <c r="Y184" s="97" t="s">
        <v>743</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8"/>
        <v>6550390.2617999995</v>
      </c>
      <c r="Y185" s="97" t="s">
        <v>452</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8"/>
        <v>6650769.9555000002</v>
      </c>
      <c r="Y186" s="97" t="s">
        <v>743</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8"/>
        <v>7054853.2560000001</v>
      </c>
      <c r="Y187" s="97" t="s">
        <v>452</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8"/>
        <v>2145690.19197</v>
      </c>
      <c r="Y188" s="97" t="s">
        <v>743</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8"/>
        <v>2145690.19197</v>
      </c>
      <c r="Y189" s="97" t="s">
        <v>452</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8"/>
        <v>4369608.0892000003</v>
      </c>
      <c r="Y190" s="97" t="s">
        <v>743</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8"/>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8"/>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8"/>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8"/>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8"/>
        <v>6667631.2002000008</v>
      </c>
      <c r="Y195" s="97" t="s">
        <v>452</v>
      </c>
      <c r="Z195" t="s">
        <v>25</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8"/>
        <v>8981064.8900000006</v>
      </c>
      <c r="Y196" s="97" t="s">
        <v>743</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8"/>
        <v>8981064.8900000006</v>
      </c>
      <c r="Y197" s="97" t="s">
        <v>452</v>
      </c>
      <c r="Z197" s="94"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8"/>
        <v>9181620.3599999994</v>
      </c>
      <c r="Y198" s="97" t="s">
        <v>743</v>
      </c>
      <c r="Z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8"/>
        <v>9181620.3599999994</v>
      </c>
      <c r="Y199" s="97" t="s">
        <v>452</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8"/>
        <v>11811186.475</v>
      </c>
      <c r="Y200" s="97" t="s">
        <v>743</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8"/>
        <v>11811186.475</v>
      </c>
      <c r="Y201" s="97" t="s">
        <v>452</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8"/>
        <v>41247832.126000002</v>
      </c>
      <c r="Y202" s="97" t="s">
        <v>743</v>
      </c>
      <c r="Z202" t="s">
        <v>25</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8"/>
        <v>41247832.126000002</v>
      </c>
      <c r="Y203" s="97" t="s">
        <v>452</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8"/>
        <v>37328539.346100003</v>
      </c>
      <c r="Y204" s="97" t="s">
        <v>743</v>
      </c>
      <c r="AA204" t="s">
        <v>25</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8"/>
        <v>37328539.346100003</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8"/>
        <v>49999818</v>
      </c>
      <c r="Y206" s="97" t="s">
        <v>4675</v>
      </c>
      <c r="Z206" t="s">
        <v>25</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8"/>
        <v>651866.696</v>
      </c>
      <c r="Y207" s="97" t="s">
        <v>4676</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8"/>
        <v>-2999869.5300000003</v>
      </c>
      <c r="Y208" s="97" t="s">
        <v>4717</v>
      </c>
      <c r="AB208" t="s">
        <v>25</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8"/>
        <v>2999869.5300000003</v>
      </c>
      <c r="Y209" s="97" t="s">
        <v>4718</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8"/>
        <v>68429.399999999994</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8"/>
        <v>4000235.57626</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8"/>
        <v>2249737.4531999999</v>
      </c>
      <c r="Y212" s="97" t="s">
        <v>452</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8"/>
        <v>-1700002.4685</v>
      </c>
      <c r="Y213" s="89" t="s">
        <v>6645</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5863</v>
      </c>
      <c r="S214" s="187" t="s">
        <v>5606</v>
      </c>
      <c r="T214" s="186">
        <v>-322076.40905199997</v>
      </c>
      <c r="U214" s="206" t="s">
        <v>4744</v>
      </c>
      <c r="V214" s="206">
        <v>-8014</v>
      </c>
      <c r="W214" s="111">
        <v>273.79649999999998</v>
      </c>
      <c r="X214" s="111">
        <f t="shared" si="78"/>
        <v>-2194205.1510000001</v>
      </c>
      <c r="Y214" s="97" t="s">
        <v>743</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8"/>
        <v>-2512356.6839999999</v>
      </c>
      <c r="Y215" s="97" t="s">
        <v>452</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8"/>
        <v>297616.79550000001</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8"/>
        <v>-1099840.5404999999</v>
      </c>
      <c r="Y217" s="89" t="s">
        <v>4406</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8"/>
        <v>1099840.5404999999</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8"/>
        <v>889938.98070000007</v>
      </c>
      <c r="Y219" s="97" t="s">
        <v>452</v>
      </c>
      <c r="Z219" t="s">
        <v>25</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8"/>
        <v>29999874.727419998</v>
      </c>
      <c r="Y220" s="97" t="s">
        <v>1069</v>
      </c>
      <c r="Z220" t="s">
        <v>25</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5812</v>
      </c>
      <c r="S221" s="187" t="s">
        <v>5808</v>
      </c>
      <c r="T221" s="186">
        <v>33832510.64875</v>
      </c>
      <c r="U221" s="206" t="s">
        <v>4779</v>
      </c>
      <c r="V221" s="206">
        <v>3407</v>
      </c>
      <c r="W221" s="111">
        <v>293.43799999999999</v>
      </c>
      <c r="X221" s="111">
        <f t="shared" si="78"/>
        <v>999743.26599999995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87" t="s">
        <v>5829</v>
      </c>
      <c r="S222" s="187" t="s">
        <v>5826</v>
      </c>
      <c r="T222" s="186">
        <v>21634932</v>
      </c>
      <c r="U222" s="206" t="s">
        <v>4780</v>
      </c>
      <c r="V222" s="206">
        <v>68796</v>
      </c>
      <c r="W222" s="111">
        <v>293.53250000000003</v>
      </c>
      <c r="X222" s="111">
        <f t="shared" si="78"/>
        <v>20193861.870000001</v>
      </c>
      <c r="Y222" s="97" t="s">
        <v>743</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87" t="s">
        <v>4732</v>
      </c>
      <c r="S223" s="187" t="s">
        <v>5826</v>
      </c>
      <c r="T223" s="186">
        <v>-22520813.151772</v>
      </c>
      <c r="U223" s="206" t="s">
        <v>4780</v>
      </c>
      <c r="V223" s="206">
        <v>154791</v>
      </c>
      <c r="W223" s="111">
        <v>293.53250000000003</v>
      </c>
      <c r="X223" s="111">
        <f t="shared" si="78"/>
        <v>45436189.207500003</v>
      </c>
      <c r="Y223" s="97" t="s">
        <v>452</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t="s">
        <v>6406</v>
      </c>
      <c r="S224" s="19" t="s">
        <v>6404</v>
      </c>
      <c r="T224" s="115">
        <v>-6000000</v>
      </c>
      <c r="U224" s="206" t="s">
        <v>4780</v>
      </c>
      <c r="V224" s="206">
        <v>-11923</v>
      </c>
      <c r="W224" s="111">
        <v>293.53250000000003</v>
      </c>
      <c r="X224" s="111">
        <f t="shared" si="78"/>
        <v>-3499787.9975000005</v>
      </c>
      <c r="Y224" s="97" t="s">
        <v>452</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87" t="s">
        <v>5372</v>
      </c>
      <c r="S225" s="187" t="s">
        <v>6494</v>
      </c>
      <c r="T225" s="186">
        <v>130888.351165</v>
      </c>
      <c r="U225" s="206" t="s">
        <v>4792</v>
      </c>
      <c r="V225" s="206">
        <v>8424</v>
      </c>
      <c r="W225" s="111">
        <v>299.15170000000001</v>
      </c>
      <c r="X225" s="111">
        <f t="shared" si="78"/>
        <v>2520053.9208</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87" t="s">
        <v>6602</v>
      </c>
      <c r="S226" s="187" t="s">
        <v>6598</v>
      </c>
      <c r="T226" s="186">
        <v>50000000</v>
      </c>
      <c r="U226" s="206" t="s">
        <v>4827</v>
      </c>
      <c r="V226" s="206">
        <v>15943</v>
      </c>
      <c r="W226" s="111">
        <v>307.34415000000001</v>
      </c>
      <c r="X226" s="111">
        <f t="shared" si="78"/>
        <v>4899987.78345</v>
      </c>
      <c r="Y226" s="97" t="s">
        <v>452</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19" t="s">
        <v>6633</v>
      </c>
      <c r="S227" s="19" t="s">
        <v>6631</v>
      </c>
      <c r="T227" s="115">
        <v>96000</v>
      </c>
      <c r="U227" s="206" t="s">
        <v>4840</v>
      </c>
      <c r="V227" s="206">
        <v>3741</v>
      </c>
      <c r="W227" s="111">
        <v>307.34415000000001</v>
      </c>
      <c r="X227" s="111">
        <f t="shared" si="78"/>
        <v>1149774.4651500001</v>
      </c>
      <c r="Y227" s="97" t="s">
        <v>452</v>
      </c>
      <c r="AA227" t="s">
        <v>25</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19"/>
      <c r="S228" s="19"/>
      <c r="T228" s="115"/>
      <c r="U228" s="206" t="s">
        <v>4845</v>
      </c>
      <c r="V228" s="206">
        <v>-6207</v>
      </c>
      <c r="W228" s="111">
        <v>322.214</v>
      </c>
      <c r="X228" s="111">
        <f t="shared" si="78"/>
        <v>-1999982.298</v>
      </c>
      <c r="Y228" s="97" t="s">
        <v>743</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8"/>
        <v>1999982.298</v>
      </c>
      <c r="Y229" s="97" t="s">
        <v>4406</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8"/>
        <v>250038.06400000001</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8"/>
        <v>479999.04</v>
      </c>
      <c r="Y231" s="97" t="s">
        <v>1069</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8"/>
        <v>1403400.3125</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R233" s="206"/>
      <c r="S233" s="206"/>
      <c r="T233" s="111">
        <f>SUM(T185:T232)</f>
        <v>160952957.13209102</v>
      </c>
      <c r="U233" s="206" t="s">
        <v>4877</v>
      </c>
      <c r="V233" s="206">
        <v>624</v>
      </c>
      <c r="W233" s="111">
        <v>320.5</v>
      </c>
      <c r="X233" s="111">
        <f t="shared" si="78"/>
        <v>199992</v>
      </c>
      <c r="Y233" s="97" t="s">
        <v>452</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41"/>
      <c r="S234" s="206"/>
      <c r="T234" s="206" t="s">
        <v>6</v>
      </c>
      <c r="U234" s="206" t="s">
        <v>4882</v>
      </c>
      <c r="V234" s="206">
        <v>1086</v>
      </c>
      <c r="W234" s="111">
        <v>317.55</v>
      </c>
      <c r="X234" s="111">
        <f t="shared" si="78"/>
        <v>344859.3</v>
      </c>
      <c r="Y234" s="97" t="s">
        <v>452</v>
      </c>
      <c r="AI234" s="97">
        <v>214</v>
      </c>
      <c r="AJ234" s="111" t="s">
        <v>5524</v>
      </c>
      <c r="AK234" s="111">
        <v>25000</v>
      </c>
      <c r="AL234" s="97">
        <v>8</v>
      </c>
      <c r="AM234" s="20">
        <f t="shared" si="85"/>
        <v>350</v>
      </c>
      <c r="AN234" s="115">
        <f t="shared" si="86"/>
        <v>8750000</v>
      </c>
      <c r="AO234" s="20"/>
    </row>
    <row r="235" spans="4:46">
      <c r="G235" s="206" t="s">
        <v>5680</v>
      </c>
      <c r="H235" s="111">
        <v>12429517.767776001</v>
      </c>
      <c r="R235" s="94"/>
      <c r="U235" s="206" t="s">
        <v>4887</v>
      </c>
      <c r="V235" s="206">
        <v>2820</v>
      </c>
      <c r="W235" s="111">
        <v>319.1096</v>
      </c>
      <c r="X235" s="111">
        <f t="shared" si="78"/>
        <v>899889.07200000004</v>
      </c>
      <c r="Y235" s="97" t="s">
        <v>452</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4" t="s">
        <v>25</v>
      </c>
      <c r="S236" s="94" t="s">
        <v>25</v>
      </c>
      <c r="U236" s="206" t="s">
        <v>4890</v>
      </c>
      <c r="V236" s="206">
        <v>1145</v>
      </c>
      <c r="W236" s="111">
        <v>325.44</v>
      </c>
      <c r="X236" s="111">
        <f t="shared" si="78"/>
        <v>372628.8</v>
      </c>
      <c r="Y236" s="97" t="s">
        <v>452</v>
      </c>
      <c r="Z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8"/>
        <v>6489266</v>
      </c>
      <c r="Y237" s="97" t="s">
        <v>452</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T238" t="s">
        <v>25</v>
      </c>
      <c r="U238" s="206" t="s">
        <v>4908</v>
      </c>
      <c r="V238" s="206">
        <v>93720</v>
      </c>
      <c r="W238" s="111">
        <v>325.435</v>
      </c>
      <c r="X238" s="111">
        <f t="shared" si="78"/>
        <v>30499768.199999999</v>
      </c>
      <c r="Y238" s="97" t="s">
        <v>1069</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8"/>
        <v>6799964.3250000002</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8"/>
        <v>849710.78500000003</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4430</v>
      </c>
      <c r="S241" s="93">
        <v>1400000</v>
      </c>
      <c r="U241" s="206" t="s">
        <v>4923</v>
      </c>
      <c r="V241" s="206">
        <v>6750</v>
      </c>
      <c r="W241" s="111">
        <v>339.3</v>
      </c>
      <c r="X241" s="111">
        <f t="shared" si="78"/>
        <v>2290275</v>
      </c>
      <c r="Y241" s="97" t="s">
        <v>743</v>
      </c>
      <c r="AB241" t="s">
        <v>25</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8"/>
        <v>618085.92500000005</v>
      </c>
      <c r="Y242" s="97" t="s">
        <v>452</v>
      </c>
      <c r="Z242" t="s">
        <v>25</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4204</v>
      </c>
      <c r="S243" s="93">
        <v>6780000</v>
      </c>
      <c r="U243" s="206" t="s">
        <v>4931</v>
      </c>
      <c r="V243" s="206">
        <v>-1194</v>
      </c>
      <c r="W243" s="111">
        <v>335</v>
      </c>
      <c r="X243" s="111">
        <f t="shared" si="78"/>
        <v>-399990</v>
      </c>
      <c r="Y243" s="97" t="s">
        <v>4406</v>
      </c>
      <c r="Z243" t="s">
        <v>25</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4528</v>
      </c>
      <c r="S244" s="93">
        <v>-4000000</v>
      </c>
      <c r="U244" s="206" t="s">
        <v>4931</v>
      </c>
      <c r="V244" s="206">
        <v>1194</v>
      </c>
      <c r="W244" s="111">
        <v>335</v>
      </c>
      <c r="X244" s="111">
        <f t="shared" si="78"/>
        <v>399990</v>
      </c>
      <c r="Y244" s="97" t="s">
        <v>743</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4553</v>
      </c>
      <c r="S245" s="93">
        <v>16727037</v>
      </c>
      <c r="U245" s="206" t="s">
        <v>4938</v>
      </c>
      <c r="V245" s="206">
        <v>433</v>
      </c>
      <c r="W245" s="111">
        <v>345.68</v>
      </c>
      <c r="X245" s="111">
        <f t="shared" si="78"/>
        <v>149679.44</v>
      </c>
      <c r="Y245" s="97" t="s">
        <v>743</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8"/>
        <v>20104984.479020003</v>
      </c>
      <c r="Y246" s="97" t="s">
        <v>452</v>
      </c>
      <c r="AI246" s="97">
        <v>226</v>
      </c>
      <c r="AJ246" s="111" t="s">
        <v>5718</v>
      </c>
      <c r="AK246" s="111">
        <v>330000</v>
      </c>
      <c r="AL246" s="97">
        <v>1</v>
      </c>
      <c r="AM246" s="20">
        <f t="shared" si="85"/>
        <v>202</v>
      </c>
      <c r="AN246" s="115">
        <f t="shared" si="86"/>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8"/>
        <v>-21079990.248</v>
      </c>
      <c r="Y247" s="97" t="s">
        <v>452</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4580</v>
      </c>
      <c r="S248" s="93">
        <v>4374525</v>
      </c>
      <c r="U248" s="206" t="s">
        <v>4947</v>
      </c>
      <c r="V248" s="206">
        <v>-15881</v>
      </c>
      <c r="W248" s="111">
        <v>374.61599999999999</v>
      </c>
      <c r="X248" s="111">
        <f t="shared" si="78"/>
        <v>-5949276.6959999995</v>
      </c>
      <c r="Y248" s="97" t="s">
        <v>452</v>
      </c>
      <c r="AI248" s="97">
        <v>228</v>
      </c>
      <c r="AJ248" s="111" t="s">
        <v>5821</v>
      </c>
      <c r="AK248" s="111">
        <v>150000</v>
      </c>
      <c r="AL248" s="97">
        <v>10</v>
      </c>
      <c r="AM248" s="20">
        <f t="shared" si="85"/>
        <v>183</v>
      </c>
      <c r="AN248" s="115"/>
      <c r="AO248" s="20"/>
    </row>
    <row r="249" spans="7:47">
      <c r="G249" s="206" t="s">
        <v>5728</v>
      </c>
      <c r="H249" s="111">
        <v>2893243.5730909999</v>
      </c>
      <c r="R249" s="97" t="s">
        <v>4591</v>
      </c>
      <c r="S249" s="93">
        <v>6550580</v>
      </c>
      <c r="U249" s="206" t="s">
        <v>4953</v>
      </c>
      <c r="V249" s="206">
        <v>-41289</v>
      </c>
      <c r="W249" s="111">
        <v>372.27</v>
      </c>
      <c r="X249" s="111">
        <f t="shared" si="78"/>
        <v>-15370656.029999999</v>
      </c>
      <c r="Y249" s="97" t="s">
        <v>452</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8"/>
        <v>4959961.9739999995</v>
      </c>
      <c r="Y250" s="97"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4609</v>
      </c>
      <c r="S251" s="93">
        <v>2145814</v>
      </c>
      <c r="U251" s="206" t="s">
        <v>4959</v>
      </c>
      <c r="V251" s="206">
        <v>27344</v>
      </c>
      <c r="W251" s="111">
        <v>365.69799999999998</v>
      </c>
      <c r="X251" s="111">
        <f t="shared" si="78"/>
        <v>9999646.1119999997</v>
      </c>
      <c r="Y251" s="97" t="s">
        <v>452</v>
      </c>
      <c r="AI251" s="97">
        <v>231</v>
      </c>
      <c r="AJ251" s="111" t="s">
        <v>5837</v>
      </c>
      <c r="AK251" s="111">
        <v>-100000000</v>
      </c>
      <c r="AL251" s="97">
        <v>1</v>
      </c>
      <c r="AM251" s="20">
        <f t="shared" si="85"/>
        <v>172</v>
      </c>
      <c r="AN251" s="115"/>
      <c r="AO251" s="261" t="s">
        <v>5839</v>
      </c>
    </row>
    <row r="252" spans="7:47" ht="30">
      <c r="G252" s="206" t="s">
        <v>5739</v>
      </c>
      <c r="H252" s="111">
        <v>327451.9203</v>
      </c>
      <c r="R252" s="97" t="s">
        <v>4620</v>
      </c>
      <c r="S252" s="93">
        <v>4369730</v>
      </c>
      <c r="U252" s="206" t="s">
        <v>4966</v>
      </c>
      <c r="V252" s="206">
        <v>-103145</v>
      </c>
      <c r="W252" s="111">
        <v>393.334</v>
      </c>
      <c r="X252" s="111">
        <f t="shared" si="78"/>
        <v>-40570435.43</v>
      </c>
      <c r="Y252" s="36" t="s">
        <v>4971</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8"/>
        <v>-145140.24600000001</v>
      </c>
      <c r="Y253" s="36" t="s">
        <v>5043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4631</v>
      </c>
      <c r="S254" s="93">
        <v>6667654</v>
      </c>
      <c r="U254" s="206" t="s">
        <v>4966</v>
      </c>
      <c r="V254" s="206">
        <v>-889</v>
      </c>
      <c r="W254" s="111">
        <v>393.334</v>
      </c>
      <c r="X254" s="111">
        <f t="shared" si="78"/>
        <v>-349673.92599999998</v>
      </c>
      <c r="Y254" s="36" t="s">
        <v>5044</v>
      </c>
      <c r="AI254" s="97">
        <v>234</v>
      </c>
      <c r="AJ254" s="111" t="s">
        <v>5842</v>
      </c>
      <c r="AK254" s="111">
        <v>30000000</v>
      </c>
      <c r="AL254" s="97">
        <v>0</v>
      </c>
      <c r="AM254" s="20">
        <f t="shared" si="85"/>
        <v>170</v>
      </c>
      <c r="AN254" s="115"/>
      <c r="AO254" s="261"/>
    </row>
    <row r="255" spans="7:47" ht="30">
      <c r="G255" s="206" t="s">
        <v>5759</v>
      </c>
      <c r="H255" s="111">
        <v>37723205.094084002</v>
      </c>
      <c r="R255" s="97" t="s">
        <v>4639</v>
      </c>
      <c r="S255" s="93">
        <v>8981245</v>
      </c>
      <c r="U255" s="206" t="s">
        <v>4975</v>
      </c>
      <c r="V255" s="206">
        <v>2546</v>
      </c>
      <c r="W255" s="111">
        <v>393</v>
      </c>
      <c r="X255" s="111">
        <f t="shared" si="78"/>
        <v>1000578</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4643</v>
      </c>
      <c r="S256" s="93">
        <v>9181756</v>
      </c>
      <c r="U256" s="206" t="s">
        <v>4976</v>
      </c>
      <c r="V256" s="206">
        <v>1034</v>
      </c>
      <c r="W256" s="111">
        <v>386.608</v>
      </c>
      <c r="X256" s="111">
        <f t="shared" si="78"/>
        <v>399752.67200000002</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4646</v>
      </c>
      <c r="S257" s="93">
        <v>11811208</v>
      </c>
      <c r="T257" t="s">
        <v>25</v>
      </c>
      <c r="U257" s="206" t="s">
        <v>4983</v>
      </c>
      <c r="V257" s="206">
        <v>300</v>
      </c>
      <c r="W257" s="111">
        <v>400</v>
      </c>
      <c r="X257" s="111">
        <f t="shared" si="78"/>
        <v>120000</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4659</v>
      </c>
      <c r="S258" s="93">
        <v>41248054</v>
      </c>
      <c r="T258" t="s">
        <v>25</v>
      </c>
      <c r="U258" s="206" t="s">
        <v>4991</v>
      </c>
      <c r="V258" s="206">
        <v>782</v>
      </c>
      <c r="W258" s="111">
        <v>409</v>
      </c>
      <c r="X258" s="111">
        <f t="shared" si="78"/>
        <v>319838</v>
      </c>
      <c r="Y258" s="36" t="s">
        <v>743</v>
      </c>
      <c r="AI258" s="97">
        <v>238</v>
      </c>
      <c r="AJ258" s="111" t="s">
        <v>6391</v>
      </c>
      <c r="AK258" s="111">
        <v>10000</v>
      </c>
      <c r="AL258" s="97">
        <v>1</v>
      </c>
      <c r="AM258" s="20">
        <f t="shared" si="85"/>
        <v>161</v>
      </c>
      <c r="AN258" s="115"/>
      <c r="AO258" s="261"/>
    </row>
    <row r="259" spans="7:46" ht="15" customHeight="1">
      <c r="G259" s="206" t="s">
        <v>5765</v>
      </c>
      <c r="H259" s="111">
        <v>151560.25597</v>
      </c>
      <c r="R259" s="97" t="s">
        <v>4666</v>
      </c>
      <c r="S259" s="93">
        <v>37328780</v>
      </c>
      <c r="U259" s="206" t="s">
        <v>4995</v>
      </c>
      <c r="V259" s="206">
        <v>1220</v>
      </c>
      <c r="W259" s="111">
        <v>409.9</v>
      </c>
      <c r="X259" s="111">
        <f t="shared" si="78"/>
        <v>500078</v>
      </c>
      <c r="Y259" s="36" t="s">
        <v>743</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4744</v>
      </c>
      <c r="S260" s="93">
        <v>-2194100</v>
      </c>
      <c r="U260" s="206" t="s">
        <v>4997</v>
      </c>
      <c r="V260" s="206">
        <v>1285</v>
      </c>
      <c r="W260" s="111">
        <v>388.84</v>
      </c>
      <c r="X260" s="111">
        <f t="shared" si="78"/>
        <v>499659.39999999997</v>
      </c>
      <c r="Y260" s="36" t="s">
        <v>452</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4780</v>
      </c>
      <c r="S261" s="93">
        <v>20193916</v>
      </c>
      <c r="U261" s="206" t="s">
        <v>4988</v>
      </c>
      <c r="V261" s="206">
        <v>1924</v>
      </c>
      <c r="W261" s="111">
        <v>386.69600000000003</v>
      </c>
      <c r="X261" s="111">
        <f t="shared" si="78"/>
        <v>744003.10400000005</v>
      </c>
      <c r="Y261" s="36" t="s">
        <v>452</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4845</v>
      </c>
      <c r="S262" s="93">
        <v>-2000000</v>
      </c>
      <c r="U262" s="206" t="s">
        <v>5013</v>
      </c>
      <c r="V262" s="206">
        <v>165</v>
      </c>
      <c r="W262" s="111">
        <v>393.5</v>
      </c>
      <c r="X262" s="111">
        <f t="shared" si="78"/>
        <v>64927.5</v>
      </c>
      <c r="Y262" s="36" t="s">
        <v>452</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4908</v>
      </c>
      <c r="S263" s="93">
        <v>6800000</v>
      </c>
      <c r="T263" t="s">
        <v>25</v>
      </c>
      <c r="U263" s="206" t="s">
        <v>5018</v>
      </c>
      <c r="V263" s="206">
        <v>-34859</v>
      </c>
      <c r="W263" s="111">
        <v>403.1585</v>
      </c>
      <c r="X263" s="111">
        <f t="shared" si="78"/>
        <v>-14053702.1515</v>
      </c>
      <c r="Y263" s="36" t="s">
        <v>5021</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4915</v>
      </c>
      <c r="S264" s="93">
        <v>850000</v>
      </c>
      <c r="U264" s="206" t="s">
        <v>4989</v>
      </c>
      <c r="V264" s="206">
        <v>8476</v>
      </c>
      <c r="W264" s="111">
        <v>419.49900000000002</v>
      </c>
      <c r="X264" s="111">
        <f t="shared" si="78"/>
        <v>3555673.5240000002</v>
      </c>
      <c r="Y264" s="36" t="s">
        <v>5027</v>
      </c>
      <c r="AI264" s="97">
        <v>244</v>
      </c>
      <c r="AJ264" s="111" t="s">
        <v>6607</v>
      </c>
      <c r="AK264" s="111">
        <v>5000</v>
      </c>
      <c r="AL264" s="97">
        <v>8</v>
      </c>
      <c r="AM264" s="20">
        <f t="shared" si="85"/>
        <v>56</v>
      </c>
      <c r="AN264" s="115"/>
      <c r="AO264" s="261" t="s">
        <v>6451</v>
      </c>
    </row>
    <row r="265" spans="7:46">
      <c r="G265" s="279" t="s">
        <v>5819</v>
      </c>
      <c r="H265" s="88">
        <v>637977.33504399995</v>
      </c>
      <c r="R265" s="97" t="s">
        <v>4923</v>
      </c>
      <c r="S265" s="93">
        <v>2290500</v>
      </c>
      <c r="U265" s="206" t="s">
        <v>5039</v>
      </c>
      <c r="V265" s="206">
        <v>903</v>
      </c>
      <c r="W265" s="111">
        <v>442.77379999999999</v>
      </c>
      <c r="X265" s="111">
        <f t="shared" si="78"/>
        <v>399824.7414</v>
      </c>
      <c r="Y265" s="36" t="s">
        <v>743</v>
      </c>
      <c r="AI265" s="97">
        <v>245</v>
      </c>
      <c r="AJ265" s="111" t="s">
        <v>6614</v>
      </c>
      <c r="AK265" s="111">
        <v>102750000</v>
      </c>
      <c r="AL265" s="97">
        <v>5</v>
      </c>
      <c r="AM265" s="20">
        <f t="shared" si="85"/>
        <v>48</v>
      </c>
      <c r="AN265" s="115"/>
      <c r="AO265" s="261"/>
    </row>
    <row r="266" spans="7:46" ht="30">
      <c r="G266" s="206" t="s">
        <v>5820</v>
      </c>
      <c r="H266" s="111">
        <v>466552.25632400002</v>
      </c>
      <c r="R266" s="97" t="s">
        <v>4931</v>
      </c>
      <c r="S266" s="93">
        <v>400000</v>
      </c>
      <c r="T266" t="s">
        <v>25</v>
      </c>
      <c r="U266" s="206" t="s">
        <v>5042</v>
      </c>
      <c r="V266" s="206">
        <v>113</v>
      </c>
      <c r="W266" s="111">
        <v>442.48200000000003</v>
      </c>
      <c r="X266" s="111">
        <f t="shared" ref="X266:X347" si="87">V266*W266</f>
        <v>50000.466</v>
      </c>
      <c r="Y266" s="36" t="s">
        <v>743</v>
      </c>
      <c r="AI266" s="97">
        <v>246</v>
      </c>
      <c r="AJ266" s="111" t="s">
        <v>6622</v>
      </c>
      <c r="AK266" s="111">
        <v>-60000000</v>
      </c>
      <c r="AL266" s="97">
        <v>42</v>
      </c>
      <c r="AM266" s="20">
        <f t="shared" si="85"/>
        <v>43</v>
      </c>
      <c r="AN266" s="115"/>
      <c r="AO266" s="261" t="s">
        <v>6628</v>
      </c>
    </row>
    <row r="267" spans="7:46" ht="20.25" customHeight="1">
      <c r="G267" s="206" t="s">
        <v>5821</v>
      </c>
      <c r="H267" s="111">
        <v>189134.85153000001</v>
      </c>
      <c r="J267" t="s">
        <v>25</v>
      </c>
      <c r="R267" s="97" t="s">
        <v>4938</v>
      </c>
      <c r="S267" s="93">
        <v>150000</v>
      </c>
      <c r="U267" s="206" t="s">
        <v>5052</v>
      </c>
      <c r="V267" s="206">
        <v>671</v>
      </c>
      <c r="W267" s="111">
        <v>447</v>
      </c>
      <c r="X267" s="111">
        <f t="shared" si="87"/>
        <v>299937</v>
      </c>
      <c r="Y267" s="36" t="s">
        <v>743</v>
      </c>
      <c r="AI267" s="97">
        <v>247</v>
      </c>
      <c r="AJ267" s="111" t="s">
        <v>6993</v>
      </c>
      <c r="AK267" s="111">
        <v>50000</v>
      </c>
      <c r="AL267" s="97">
        <v>1</v>
      </c>
      <c r="AM267" s="20">
        <f t="shared" si="85"/>
        <v>1</v>
      </c>
      <c r="AN267" s="115"/>
      <c r="AO267" s="261" t="s">
        <v>6451</v>
      </c>
      <c r="AT267" t="s">
        <v>25</v>
      </c>
    </row>
    <row r="268" spans="7:46">
      <c r="G268" s="206" t="s">
        <v>5823</v>
      </c>
      <c r="H268" s="111">
        <v>564888.82799599995</v>
      </c>
      <c r="R268" s="97" t="s">
        <v>4966</v>
      </c>
      <c r="S268" s="93">
        <v>-144950</v>
      </c>
      <c r="U268" s="206" t="s">
        <v>5054</v>
      </c>
      <c r="V268" s="206">
        <v>7</v>
      </c>
      <c r="W268" s="111">
        <v>465.31200000000001</v>
      </c>
      <c r="X268" s="111">
        <f t="shared" si="87"/>
        <v>3257.1840000000002</v>
      </c>
      <c r="Y268" s="36" t="s">
        <v>452</v>
      </c>
      <c r="AI268" s="97"/>
      <c r="AJ268" s="111"/>
      <c r="AK268" s="111"/>
      <c r="AL268" s="97"/>
      <c r="AM268" s="20">
        <f t="shared" si="85"/>
        <v>0</v>
      </c>
      <c r="AN268" s="115"/>
      <c r="AO268" s="261"/>
    </row>
    <row r="269" spans="7:46" ht="21.75" customHeight="1">
      <c r="G269" s="206" t="s">
        <v>5858</v>
      </c>
      <c r="H269" s="111">
        <v>259993.58394100002</v>
      </c>
      <c r="J269" t="s">
        <v>25</v>
      </c>
      <c r="R269" s="97" t="s">
        <v>4991</v>
      </c>
      <c r="S269" s="93">
        <v>320000</v>
      </c>
      <c r="U269" s="206" t="s">
        <v>5058</v>
      </c>
      <c r="V269" s="206">
        <v>12950</v>
      </c>
      <c r="W269" s="111">
        <v>463.31599999999997</v>
      </c>
      <c r="X269" s="111">
        <f t="shared" si="87"/>
        <v>5999942.1999999993</v>
      </c>
      <c r="Y269" s="36" t="s">
        <v>452</v>
      </c>
      <c r="AI269" s="97"/>
      <c r="AJ269" s="111"/>
      <c r="AK269" s="111"/>
      <c r="AL269" s="97"/>
      <c r="AM269" s="20">
        <f t="shared" si="85"/>
        <v>0</v>
      </c>
      <c r="AN269" s="115"/>
      <c r="AO269" s="261"/>
    </row>
    <row r="270" spans="7:46">
      <c r="G270" s="206" t="s">
        <v>5859</v>
      </c>
      <c r="H270" s="111">
        <v>269955.31205999997</v>
      </c>
      <c r="R270" s="97" t="s">
        <v>4995</v>
      </c>
      <c r="S270" s="93">
        <v>500000</v>
      </c>
      <c r="T270" t="s">
        <v>25</v>
      </c>
      <c r="U270" s="206" t="s">
        <v>5060</v>
      </c>
      <c r="V270" s="206">
        <v>37</v>
      </c>
      <c r="W270" s="111">
        <v>463.315</v>
      </c>
      <c r="X270" s="111">
        <f t="shared" si="87"/>
        <v>17142.654999999999</v>
      </c>
      <c r="Y270" s="36" t="s">
        <v>452</v>
      </c>
      <c r="AI270" s="97"/>
      <c r="AJ270" s="111"/>
      <c r="AK270" s="111"/>
      <c r="AL270" s="97"/>
      <c r="AM270" s="20">
        <f t="shared" si="85"/>
        <v>0</v>
      </c>
      <c r="AN270" s="115"/>
      <c r="AO270" s="20"/>
    </row>
    <row r="271" spans="7:46">
      <c r="G271" s="206" t="s">
        <v>6400</v>
      </c>
      <c r="H271" s="111">
        <v>560534.38387200003</v>
      </c>
      <c r="R271" s="97" t="s">
        <v>5039</v>
      </c>
      <c r="S271" s="93">
        <v>400000</v>
      </c>
      <c r="T271" t="s">
        <v>25</v>
      </c>
      <c r="U271" s="206" t="s">
        <v>5061</v>
      </c>
      <c r="V271" s="206">
        <v>19</v>
      </c>
      <c r="W271" s="111">
        <v>434.3</v>
      </c>
      <c r="X271" s="111">
        <f t="shared" si="87"/>
        <v>8251.7000000000007</v>
      </c>
      <c r="Y271" s="36" t="s">
        <v>452</v>
      </c>
      <c r="Z271" t="s">
        <v>25</v>
      </c>
      <c r="AD271" t="s">
        <v>25</v>
      </c>
      <c r="AI271" s="97"/>
      <c r="AJ271" s="111"/>
      <c r="AK271" s="111"/>
      <c r="AL271" s="97"/>
      <c r="AM271" s="20">
        <f t="shared" si="85"/>
        <v>0</v>
      </c>
      <c r="AN271" s="115"/>
      <c r="AO271" s="20"/>
      <c r="AS271" t="s">
        <v>25</v>
      </c>
    </row>
    <row r="272" spans="7:46">
      <c r="G272" s="206" t="s">
        <v>6402</v>
      </c>
      <c r="H272" s="111">
        <v>581484.96802499995</v>
      </c>
      <c r="R272" s="97" t="s">
        <v>5042</v>
      </c>
      <c r="S272" s="93">
        <v>50000</v>
      </c>
      <c r="T272" t="s">
        <v>25</v>
      </c>
      <c r="U272" s="206" t="s">
        <v>5063</v>
      </c>
      <c r="V272" s="206">
        <v>16</v>
      </c>
      <c r="W272" s="111">
        <v>439</v>
      </c>
      <c r="X272" s="111">
        <f t="shared" si="87"/>
        <v>7024</v>
      </c>
      <c r="Y272" s="36" t="s">
        <v>452</v>
      </c>
      <c r="Z272" t="s">
        <v>25</v>
      </c>
      <c r="AI272" s="97"/>
      <c r="AJ272" s="111"/>
      <c r="AK272" s="111"/>
      <c r="AL272" s="97"/>
      <c r="AM272" s="20">
        <f t="shared" si="85"/>
        <v>0</v>
      </c>
      <c r="AN272" s="115"/>
      <c r="AO272" s="20"/>
    </row>
    <row r="273" spans="7:41" ht="45">
      <c r="G273" s="206" t="s">
        <v>6404</v>
      </c>
      <c r="H273" s="111">
        <v>2136964.3409779998</v>
      </c>
      <c r="J273" t="s">
        <v>25</v>
      </c>
      <c r="R273" s="97" t="s">
        <v>5052</v>
      </c>
      <c r="S273" s="93">
        <v>300000</v>
      </c>
      <c r="U273" s="206" t="s">
        <v>5063</v>
      </c>
      <c r="V273" s="206">
        <v>9191</v>
      </c>
      <c r="W273" s="111">
        <v>440.24630000000002</v>
      </c>
      <c r="X273" s="111">
        <f t="shared" si="87"/>
        <v>4046303.7433000002</v>
      </c>
      <c r="Y273" s="36" t="s">
        <v>5064</v>
      </c>
      <c r="AI273" s="97"/>
      <c r="AJ273" s="111"/>
      <c r="AK273" s="111">
        <v>0</v>
      </c>
      <c r="AL273" s="97"/>
      <c r="AM273" s="20">
        <f t="shared" si="85"/>
        <v>0</v>
      </c>
      <c r="AN273" s="115">
        <f t="shared" si="86"/>
        <v>0</v>
      </c>
      <c r="AO273" s="20"/>
    </row>
    <row r="274" spans="7:41">
      <c r="G274" s="206" t="s">
        <v>6407</v>
      </c>
      <c r="H274" s="111">
        <v>593783.22629999998</v>
      </c>
      <c r="J274" t="s">
        <v>25</v>
      </c>
      <c r="R274" s="97" t="s">
        <v>5073</v>
      </c>
      <c r="S274" s="93">
        <v>250000</v>
      </c>
      <c r="U274" s="206" t="s">
        <v>5066</v>
      </c>
      <c r="V274" s="206">
        <v>-8792</v>
      </c>
      <c r="W274" s="111">
        <v>441.90665999999999</v>
      </c>
      <c r="X274" s="111">
        <f t="shared" si="87"/>
        <v>-3885243.3547199997</v>
      </c>
      <c r="Y274" s="36" t="s">
        <v>5067</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5106</v>
      </c>
      <c r="S275" s="93">
        <v>200000</v>
      </c>
      <c r="U275" s="206" t="s">
        <v>5073</v>
      </c>
      <c r="V275" s="206">
        <v>530</v>
      </c>
      <c r="W275" s="111">
        <v>472</v>
      </c>
      <c r="X275" s="111">
        <f t="shared" si="87"/>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6453</v>
      </c>
      <c r="H276" s="111">
        <v>15777944</v>
      </c>
      <c r="R276" s="97" t="s">
        <v>5138</v>
      </c>
      <c r="S276" s="93">
        <v>122000</v>
      </c>
      <c r="U276" s="206" t="s">
        <v>5073</v>
      </c>
      <c r="V276" s="206">
        <v>12</v>
      </c>
      <c r="W276" s="111">
        <v>481.86</v>
      </c>
      <c r="X276" s="111">
        <f t="shared" si="87"/>
        <v>5782.32</v>
      </c>
      <c r="Y276" s="36" t="s">
        <v>5075</v>
      </c>
      <c r="AI276" s="97"/>
      <c r="AJ276" s="97"/>
      <c r="AK276" s="97" t="s">
        <v>4041</v>
      </c>
      <c r="AL276" s="97"/>
      <c r="AM276" s="97"/>
      <c r="AN276" s="97" t="s">
        <v>284</v>
      </c>
      <c r="AO276" s="97" t="s">
        <v>926</v>
      </c>
    </row>
    <row r="277" spans="7:41">
      <c r="G277" s="206" t="s">
        <v>6461</v>
      </c>
      <c r="H277" s="111">
        <v>3585319.2317280001</v>
      </c>
      <c r="J277" t="s">
        <v>25</v>
      </c>
      <c r="K277" t="s">
        <v>25</v>
      </c>
      <c r="R277" s="97" t="s">
        <v>5146</v>
      </c>
      <c r="S277" s="93">
        <v>200000</v>
      </c>
      <c r="T277" t="s">
        <v>25</v>
      </c>
      <c r="U277" s="206" t="s">
        <v>5099</v>
      </c>
      <c r="V277" s="206">
        <v>846</v>
      </c>
      <c r="W277" s="111">
        <v>472.7</v>
      </c>
      <c r="X277" s="111">
        <f t="shared" si="87"/>
        <v>399904.2</v>
      </c>
      <c r="Y277" s="36" t="s">
        <v>452</v>
      </c>
      <c r="AI277" s="97"/>
      <c r="AJ277" s="97"/>
      <c r="AK277" s="97"/>
      <c r="AL277" s="97"/>
      <c r="AM277" s="97"/>
      <c r="AN277" s="97"/>
      <c r="AO277" s="97"/>
    </row>
    <row r="278" spans="7:41">
      <c r="G278" s="206" t="s">
        <v>6464</v>
      </c>
      <c r="H278" s="111">
        <v>676700.69889600005</v>
      </c>
      <c r="J278" t="s">
        <v>25</v>
      </c>
      <c r="R278" s="97" t="s">
        <v>5156</v>
      </c>
      <c r="S278" s="93">
        <v>60000</v>
      </c>
      <c r="U278" s="206" t="s">
        <v>5102</v>
      </c>
      <c r="V278" s="206">
        <v>191</v>
      </c>
      <c r="W278" s="111">
        <v>484.572</v>
      </c>
      <c r="X278" s="111">
        <f t="shared" si="87"/>
        <v>92553.252000000008</v>
      </c>
      <c r="Y278" s="36" t="s">
        <v>5103</v>
      </c>
      <c r="AI278" s="97"/>
      <c r="AJ278" s="97"/>
      <c r="AK278" s="97"/>
      <c r="AL278" s="97"/>
      <c r="AM278" s="97"/>
      <c r="AN278" s="97" t="s">
        <v>4042</v>
      </c>
      <c r="AO278" s="97">
        <v>1.6667000000000001E-2</v>
      </c>
    </row>
    <row r="279" spans="7:41">
      <c r="G279" s="206" t="s">
        <v>6472</v>
      </c>
      <c r="H279" s="111">
        <v>1105777.5430340001</v>
      </c>
      <c r="J279" t="s">
        <v>25</v>
      </c>
      <c r="R279" s="97" t="s">
        <v>5215</v>
      </c>
      <c r="S279" s="93">
        <v>-200000</v>
      </c>
      <c r="T279" t="s">
        <v>25</v>
      </c>
      <c r="U279" s="206" t="s">
        <v>5102</v>
      </c>
      <c r="V279" s="206">
        <v>-206</v>
      </c>
      <c r="W279" s="111">
        <v>484.572</v>
      </c>
      <c r="X279" s="111">
        <f t="shared" si="87"/>
        <v>-99821.831999999995</v>
      </c>
      <c r="Y279" s="36" t="s">
        <v>5105</v>
      </c>
      <c r="AI279" s="97"/>
      <c r="AJ279" s="97"/>
      <c r="AK279" s="97"/>
      <c r="AL279" s="97"/>
      <c r="AM279" s="97"/>
      <c r="AN279" s="97"/>
      <c r="AO279" s="97"/>
    </row>
    <row r="280" spans="7:41">
      <c r="G280" s="206" t="s">
        <v>6476</v>
      </c>
      <c r="H280" s="111">
        <v>2315234.8602510002</v>
      </c>
      <c r="R280" s="97" t="s">
        <v>5277</v>
      </c>
      <c r="S280" s="93">
        <v>-9000000</v>
      </c>
      <c r="U280" s="206" t="s">
        <v>5106</v>
      </c>
      <c r="V280" s="206">
        <v>20685</v>
      </c>
      <c r="W280" s="111">
        <v>483.43312200000003</v>
      </c>
      <c r="X280" s="111">
        <f t="shared" si="87"/>
        <v>9999814.1285699997</v>
      </c>
      <c r="Y280" s="36" t="s">
        <v>5108</v>
      </c>
      <c r="AI280" s="97"/>
      <c r="AJ280" s="97" t="s">
        <v>4043</v>
      </c>
      <c r="AK280" s="93">
        <f>AK275+AO275</f>
        <v>770625418.39823937</v>
      </c>
      <c r="AL280" s="97"/>
      <c r="AM280" s="97"/>
      <c r="AN280" s="97"/>
      <c r="AO280" s="97"/>
    </row>
    <row r="281" spans="7:41">
      <c r="G281" s="206" t="s">
        <v>6478</v>
      </c>
      <c r="H281" s="111">
        <v>4136360.6541840001</v>
      </c>
      <c r="J281" t="s">
        <v>25</v>
      </c>
      <c r="R281" s="97" t="s">
        <v>5335</v>
      </c>
      <c r="S281" s="93">
        <v>-26000000</v>
      </c>
      <c r="U281" s="206" t="s">
        <v>5106</v>
      </c>
      <c r="V281" s="206">
        <v>-413</v>
      </c>
      <c r="W281" s="111">
        <v>483.40199999999999</v>
      </c>
      <c r="X281" s="111">
        <f t="shared" si="87"/>
        <v>-199645.02599999998</v>
      </c>
      <c r="Y281" s="36" t="s">
        <v>4406</v>
      </c>
      <c r="AJ281" t="s">
        <v>4046</v>
      </c>
      <c r="AK281" s="112">
        <f>SUM(N44:N53)</f>
        <v>6757292232</v>
      </c>
      <c r="AN281" t="s">
        <v>25</v>
      </c>
    </row>
    <row r="282" spans="7:41">
      <c r="G282" s="206" t="s">
        <v>6480</v>
      </c>
      <c r="H282" s="111">
        <v>3035714.4702960001</v>
      </c>
      <c r="O282" t="s">
        <v>25</v>
      </c>
      <c r="R282" s="97" t="s">
        <v>5339</v>
      </c>
      <c r="S282" s="93">
        <v>-95900000</v>
      </c>
      <c r="U282" s="206" t="s">
        <v>5106</v>
      </c>
      <c r="V282" s="206">
        <v>413</v>
      </c>
      <c r="W282" s="111">
        <v>483.40199999999999</v>
      </c>
      <c r="X282" s="111">
        <f t="shared" si="87"/>
        <v>199645.02599999998</v>
      </c>
      <c r="Y282" s="36" t="s">
        <v>743</v>
      </c>
      <c r="AJ282" t="s">
        <v>4116</v>
      </c>
      <c r="AK282" s="112">
        <f>AK281-AK275</f>
        <v>6287806282.9384365</v>
      </c>
      <c r="AN282" t="s">
        <v>25</v>
      </c>
    </row>
    <row r="283" spans="7:41">
      <c r="G283" s="206" t="s">
        <v>6488</v>
      </c>
      <c r="H283" s="111">
        <v>93814</v>
      </c>
      <c r="R283" s="97" t="s">
        <v>5340</v>
      </c>
      <c r="S283" s="93">
        <v>-28950000</v>
      </c>
      <c r="T283" t="s">
        <v>25</v>
      </c>
      <c r="U283" s="206" t="s">
        <v>5111</v>
      </c>
      <c r="V283" s="206">
        <v>-828</v>
      </c>
      <c r="W283" s="111">
        <v>483.43312200000003</v>
      </c>
      <c r="X283" s="111">
        <f t="shared" si="87"/>
        <v>-400282.62501600001</v>
      </c>
      <c r="Y283" s="36" t="s">
        <v>452</v>
      </c>
      <c r="AJ283" t="s">
        <v>926</v>
      </c>
      <c r="AK283" s="112">
        <f>AO275</f>
        <v>301139469.33667535</v>
      </c>
      <c r="AO283" t="s">
        <v>25</v>
      </c>
    </row>
    <row r="284" spans="7:41">
      <c r="G284" s="206" t="s">
        <v>6494</v>
      </c>
      <c r="H284" s="111">
        <v>345069.28943499998</v>
      </c>
      <c r="R284" s="97" t="s">
        <v>5483</v>
      </c>
      <c r="S284" s="93">
        <v>-93000000</v>
      </c>
      <c r="T284" t="s">
        <v>25</v>
      </c>
      <c r="U284" s="206" t="s">
        <v>5114</v>
      </c>
      <c r="V284" s="206">
        <v>12</v>
      </c>
      <c r="W284" s="111">
        <v>473.61898300000001</v>
      </c>
      <c r="X284" s="111">
        <f t="shared" si="87"/>
        <v>5683.4277959999999</v>
      </c>
      <c r="Y284" s="36" t="s">
        <v>452</v>
      </c>
      <c r="AJ284" t="s">
        <v>4047</v>
      </c>
      <c r="AK284" s="112">
        <f>AK281-AK280</f>
        <v>5986666813.6017609</v>
      </c>
      <c r="AO284" t="s">
        <v>25</v>
      </c>
    </row>
    <row r="285" spans="7:41">
      <c r="G285" s="206" t="s">
        <v>6586</v>
      </c>
      <c r="H285" s="111">
        <v>567785.37859199999</v>
      </c>
      <c r="R285" s="97" t="s">
        <v>5492</v>
      </c>
      <c r="S285" s="93">
        <v>50000000</v>
      </c>
      <c r="U285" s="206" t="s">
        <v>5117</v>
      </c>
      <c r="V285" s="206">
        <v>963</v>
      </c>
      <c r="W285" s="111">
        <v>477.92200000000003</v>
      </c>
      <c r="X285" s="111">
        <f t="shared" si="87"/>
        <v>460238.886</v>
      </c>
      <c r="Y285" s="36" t="s">
        <v>452</v>
      </c>
      <c r="AN285" t="s">
        <v>25</v>
      </c>
    </row>
    <row r="286" spans="7:41">
      <c r="G286" s="206" t="s">
        <v>6597</v>
      </c>
      <c r="H286" s="111">
        <v>189683.91675</v>
      </c>
      <c r="J286" t="s">
        <v>25</v>
      </c>
      <c r="R286" s="97" t="s">
        <v>4209</v>
      </c>
      <c r="S286" s="93">
        <v>2749471.1668000002</v>
      </c>
      <c r="U286" s="206" t="s">
        <v>5118</v>
      </c>
      <c r="V286" s="206">
        <v>2815</v>
      </c>
      <c r="W286" s="111">
        <v>461.79</v>
      </c>
      <c r="X286" s="111">
        <f t="shared" si="87"/>
        <v>1299938.8500000001</v>
      </c>
      <c r="Y286" s="36" t="s">
        <v>452</v>
      </c>
      <c r="AK286" t="s">
        <v>25</v>
      </c>
    </row>
    <row r="287" spans="7:41">
      <c r="G287" s="206" t="s">
        <v>6598</v>
      </c>
      <c r="H287" s="111">
        <v>519135.75707200001</v>
      </c>
      <c r="R287" s="97" t="s">
        <v>5582</v>
      </c>
      <c r="S287" s="93">
        <v>-680940.07019999996</v>
      </c>
      <c r="U287" s="206" t="s">
        <v>5118</v>
      </c>
      <c r="V287" s="206">
        <v>1581</v>
      </c>
      <c r="W287" s="111">
        <v>461.79</v>
      </c>
      <c r="X287" s="111">
        <f t="shared" si="87"/>
        <v>730089.99</v>
      </c>
      <c r="Y287" s="36" t="s">
        <v>452</v>
      </c>
      <c r="Z287" t="s">
        <v>25</v>
      </c>
    </row>
    <row r="288" spans="7:41">
      <c r="G288" s="206" t="s">
        <v>6604</v>
      </c>
      <c r="H288" s="111">
        <v>3406413.9029760002</v>
      </c>
      <c r="R288" s="97" t="s">
        <v>5582</v>
      </c>
      <c r="S288" s="93">
        <v>-48684800.338199995</v>
      </c>
      <c r="U288" s="206" t="s">
        <v>975</v>
      </c>
      <c r="V288" s="206">
        <v>41</v>
      </c>
      <c r="W288" s="111">
        <v>514.48099999999999</v>
      </c>
      <c r="X288" s="111">
        <f t="shared" si="87"/>
        <v>21093.721000000001</v>
      </c>
      <c r="Y288" s="36" t="s">
        <v>5103</v>
      </c>
    </row>
    <row r="289" spans="7:45">
      <c r="G289" s="417" t="s">
        <v>6606</v>
      </c>
      <c r="H289" s="77">
        <v>435036.348168</v>
      </c>
      <c r="R289" s="97" t="s">
        <v>5606</v>
      </c>
      <c r="S289" s="93">
        <v>1500000</v>
      </c>
      <c r="T289" t="s">
        <v>25</v>
      </c>
      <c r="U289" s="206" t="s">
        <v>4253</v>
      </c>
      <c r="V289" s="206">
        <v>71</v>
      </c>
      <c r="W289" s="111">
        <v>482.57</v>
      </c>
      <c r="X289" s="111">
        <f t="shared" si="87"/>
        <v>34262.47</v>
      </c>
      <c r="Y289" s="36" t="s">
        <v>5103</v>
      </c>
    </row>
    <row r="290" spans="7:45">
      <c r="G290" s="206" t="s">
        <v>6650</v>
      </c>
      <c r="H290" s="111">
        <v>2321535.4633200001</v>
      </c>
      <c r="O290" t="s">
        <v>25</v>
      </c>
      <c r="R290" s="97" t="s">
        <v>963</v>
      </c>
      <c r="S290" s="93">
        <v>11221062</v>
      </c>
      <c r="T290" t="s">
        <v>25</v>
      </c>
      <c r="U290" s="206" t="s">
        <v>5138</v>
      </c>
      <c r="V290" s="206">
        <v>-250</v>
      </c>
      <c r="W290" s="111">
        <v>487.125</v>
      </c>
      <c r="X290" s="111">
        <f t="shared" si="87"/>
        <v>-121781.25</v>
      </c>
      <c r="Y290" s="36" t="s">
        <v>4406</v>
      </c>
    </row>
    <row r="291" spans="7:45">
      <c r="G291" s="206" t="s">
        <v>6980</v>
      </c>
      <c r="H291" s="111">
        <v>1098146.8035800001</v>
      </c>
      <c r="R291" s="97" t="s">
        <v>5813</v>
      </c>
      <c r="S291" s="93">
        <v>20031495.928431001</v>
      </c>
      <c r="U291" s="206" t="s">
        <v>5138</v>
      </c>
      <c r="V291" s="206">
        <v>250</v>
      </c>
      <c r="W291" s="111">
        <v>487.125</v>
      </c>
      <c r="X291" s="111">
        <f t="shared" si="87"/>
        <v>121781.25</v>
      </c>
      <c r="Y291" s="36" t="s">
        <v>743</v>
      </c>
      <c r="AI291" s="97" t="s">
        <v>3623</v>
      </c>
      <c r="AJ291" s="97" t="s">
        <v>180</v>
      </c>
      <c r="AK291" s="97" t="s">
        <v>267</v>
      </c>
      <c r="AL291" s="97" t="s">
        <v>4040</v>
      </c>
      <c r="AM291" s="97" t="s">
        <v>4032</v>
      </c>
      <c r="AN291" s="97" t="s">
        <v>282</v>
      </c>
      <c r="AO291" s="97" t="s">
        <v>4265</v>
      </c>
    </row>
    <row r="292" spans="7:45">
      <c r="G292" s="206" t="s">
        <v>6986</v>
      </c>
      <c r="H292" s="111">
        <v>540424.560405</v>
      </c>
      <c r="R292" s="97" t="s">
        <v>5826</v>
      </c>
      <c r="S292" s="93">
        <v>-154353015.43906799</v>
      </c>
      <c r="T292" t="s">
        <v>25</v>
      </c>
      <c r="U292" s="206" t="s">
        <v>5146</v>
      </c>
      <c r="V292" s="206">
        <v>-1439</v>
      </c>
      <c r="W292" s="111">
        <v>486.53068999999999</v>
      </c>
      <c r="X292" s="111">
        <f t="shared" si="87"/>
        <v>-700117.66290999996</v>
      </c>
      <c r="Y292" s="36" t="s">
        <v>4406</v>
      </c>
      <c r="AI292" s="97">
        <v>1</v>
      </c>
      <c r="AJ292" s="97" t="s">
        <v>3931</v>
      </c>
      <c r="AK292" s="115">
        <v>3555820</v>
      </c>
      <c r="AL292" s="97">
        <v>2</v>
      </c>
      <c r="AM292" s="97">
        <f>AL292+AM293</f>
        <v>991</v>
      </c>
      <c r="AN292" s="97">
        <f>AK292*AM292</f>
        <v>3523817620</v>
      </c>
      <c r="AO292" s="97" t="s">
        <v>4283</v>
      </c>
    </row>
    <row r="293" spans="7:45">
      <c r="G293" s="206" t="s">
        <v>6988</v>
      </c>
      <c r="H293" s="111">
        <v>2781712.2405709997</v>
      </c>
      <c r="R293" s="97" t="s">
        <v>5845</v>
      </c>
      <c r="S293" s="93">
        <v>16643927.89773</v>
      </c>
      <c r="T293" t="s">
        <v>25</v>
      </c>
      <c r="U293" s="206" t="s">
        <v>5146</v>
      </c>
      <c r="V293" s="206">
        <v>411</v>
      </c>
      <c r="W293" s="111">
        <v>486.53068999999999</v>
      </c>
      <c r="X293" s="111">
        <f t="shared" si="87"/>
        <v>199964.11358999999</v>
      </c>
      <c r="Y293" s="36" t="s">
        <v>743</v>
      </c>
      <c r="Z293" t="s">
        <v>25</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6998</v>
      </c>
      <c r="H294" s="111">
        <v>109680.86334900001</v>
      </c>
      <c r="R294" s="97" t="s">
        <v>5846</v>
      </c>
      <c r="S294" s="93">
        <v>33355467.51292</v>
      </c>
      <c r="U294" s="206" t="s">
        <v>5116</v>
      </c>
      <c r="V294" s="206">
        <v>-4290</v>
      </c>
      <c r="W294" s="111">
        <v>497.57670000000002</v>
      </c>
      <c r="X294" s="111">
        <f t="shared" si="87"/>
        <v>-2134604.0430000001</v>
      </c>
      <c r="Y294" s="36" t="s">
        <v>452</v>
      </c>
      <c r="AI294" s="97">
        <v>3</v>
      </c>
      <c r="AJ294" s="97" t="s">
        <v>4110</v>
      </c>
      <c r="AK294" s="115">
        <v>150000</v>
      </c>
      <c r="AL294" s="97">
        <v>3</v>
      </c>
      <c r="AM294" s="97">
        <f t="shared" si="88"/>
        <v>938</v>
      </c>
      <c r="AN294" s="97">
        <f t="shared" si="89"/>
        <v>140700000</v>
      </c>
      <c r="AO294" s="97"/>
    </row>
    <row r="295" spans="7:45">
      <c r="G295" s="206" t="s">
        <v>7019</v>
      </c>
      <c r="H295" s="111">
        <v>13945790.265610002</v>
      </c>
      <c r="R295" s="97" t="s">
        <v>6391</v>
      </c>
      <c r="S295" s="93">
        <v>30000000</v>
      </c>
      <c r="T295" t="s">
        <v>25</v>
      </c>
      <c r="U295" s="206" t="s">
        <v>5153</v>
      </c>
      <c r="V295" s="206">
        <v>-644</v>
      </c>
      <c r="W295" s="111">
        <v>494.76464499999997</v>
      </c>
      <c r="X295" s="111">
        <f t="shared" si="87"/>
        <v>-318628.43137999997</v>
      </c>
      <c r="Y295" s="36" t="s">
        <v>452</v>
      </c>
      <c r="AI295" s="97">
        <v>4</v>
      </c>
      <c r="AJ295" s="97" t="s">
        <v>4125</v>
      </c>
      <c r="AK295" s="115">
        <v>-95000</v>
      </c>
      <c r="AL295" s="97">
        <v>8</v>
      </c>
      <c r="AM295" s="97">
        <f t="shared" si="88"/>
        <v>935</v>
      </c>
      <c r="AN295" s="97">
        <f t="shared" si="89"/>
        <v>-88825000</v>
      </c>
      <c r="AO295" s="97"/>
    </row>
    <row r="296" spans="7:45">
      <c r="G296" s="206" t="s">
        <v>7021</v>
      </c>
      <c r="H296" s="111">
        <v>457914.84466800001</v>
      </c>
      <c r="R296" s="97" t="s">
        <v>6404</v>
      </c>
      <c r="S296" s="93">
        <v>6000000</v>
      </c>
      <c r="U296" s="206" t="s">
        <v>5156</v>
      </c>
      <c r="V296" s="206">
        <v>-112</v>
      </c>
      <c r="W296" s="111">
        <v>485.78</v>
      </c>
      <c r="X296" s="111">
        <f t="shared" si="87"/>
        <v>-54407.360000000001</v>
      </c>
      <c r="Y296" s="36" t="s">
        <v>452</v>
      </c>
      <c r="AI296" s="97">
        <v>5</v>
      </c>
      <c r="AJ296" s="97" t="s">
        <v>4149</v>
      </c>
      <c r="AK296" s="115">
        <v>3150000</v>
      </c>
      <c r="AL296" s="97">
        <v>16</v>
      </c>
      <c r="AM296" s="97">
        <f t="shared" si="88"/>
        <v>927</v>
      </c>
      <c r="AN296" s="97">
        <f t="shared" si="89"/>
        <v>2920050000</v>
      </c>
      <c r="AO296" s="97"/>
    </row>
    <row r="297" spans="7:45">
      <c r="G297" s="206" t="s">
        <v>7023</v>
      </c>
      <c r="H297" s="111">
        <v>974570.33942399989</v>
      </c>
      <c r="R297" s="97" t="s">
        <v>6494</v>
      </c>
      <c r="S297" s="93">
        <v>126128.77475900001</v>
      </c>
      <c r="U297" s="206" t="s">
        <v>5156</v>
      </c>
      <c r="V297" s="206">
        <v>123</v>
      </c>
      <c r="W297" s="111">
        <v>485.78</v>
      </c>
      <c r="X297" s="111">
        <f t="shared" si="87"/>
        <v>59750.939999999995</v>
      </c>
      <c r="Y297" s="36" t="s">
        <v>743</v>
      </c>
      <c r="AI297" s="97">
        <v>6</v>
      </c>
      <c r="AJ297" s="97" t="s">
        <v>4214</v>
      </c>
      <c r="AK297" s="115">
        <v>-65000</v>
      </c>
      <c r="AL297" s="97">
        <v>1</v>
      </c>
      <c r="AM297" s="97">
        <f t="shared" si="88"/>
        <v>911</v>
      </c>
      <c r="AN297" s="97">
        <f t="shared" si="89"/>
        <v>-59215000</v>
      </c>
      <c r="AO297" s="97"/>
    </row>
    <row r="298" spans="7:45">
      <c r="G298" s="206" t="s">
        <v>7025</v>
      </c>
      <c r="H298" s="111">
        <v>746198.52596400003</v>
      </c>
      <c r="J298" t="s">
        <v>25</v>
      </c>
      <c r="O298" t="s">
        <v>25</v>
      </c>
      <c r="R298" s="97"/>
      <c r="S298" s="93"/>
      <c r="U298" s="206" t="s">
        <v>5156</v>
      </c>
      <c r="V298" s="206">
        <v>-123</v>
      </c>
      <c r="W298" s="111">
        <v>485.78</v>
      </c>
      <c r="X298" s="111">
        <f t="shared" si="87"/>
        <v>-59750.939999999995</v>
      </c>
      <c r="Y298" s="36" t="s">
        <v>4406</v>
      </c>
      <c r="AI298" s="97">
        <v>7</v>
      </c>
      <c r="AJ298" s="97" t="s">
        <v>4285</v>
      </c>
      <c r="AK298" s="115">
        <v>-95000</v>
      </c>
      <c r="AL298" s="97">
        <v>6</v>
      </c>
      <c r="AM298" s="97">
        <f t="shared" si="88"/>
        <v>910</v>
      </c>
      <c r="AN298" s="97">
        <f t="shared" si="89"/>
        <v>-86450000</v>
      </c>
      <c r="AO298" s="97"/>
    </row>
    <row r="299" spans="7:45">
      <c r="G299" s="206" t="s">
        <v>7036</v>
      </c>
      <c r="H299" s="111">
        <v>416108</v>
      </c>
      <c r="R299" s="97"/>
      <c r="S299" s="93"/>
      <c r="T299" t="s">
        <v>25</v>
      </c>
      <c r="U299" s="206" t="s">
        <v>5199</v>
      </c>
      <c r="V299" s="206">
        <v>32367</v>
      </c>
      <c r="W299" s="111">
        <v>556.12900000000002</v>
      </c>
      <c r="X299" s="111">
        <f t="shared" si="87"/>
        <v>18000227.343000002</v>
      </c>
      <c r="Y299" s="36" t="s">
        <v>452</v>
      </c>
      <c r="AI299" s="97">
        <v>8</v>
      </c>
      <c r="AJ299" s="97" t="s">
        <v>4286</v>
      </c>
      <c r="AK299" s="115">
        <v>232000</v>
      </c>
      <c r="AL299" s="97">
        <v>7</v>
      </c>
      <c r="AM299" s="97">
        <f t="shared" si="88"/>
        <v>904</v>
      </c>
      <c r="AN299" s="97">
        <f t="shared" si="89"/>
        <v>209728000</v>
      </c>
      <c r="AO299" s="97"/>
    </row>
    <row r="300" spans="7:45">
      <c r="G300" s="206" t="s">
        <v>7053</v>
      </c>
      <c r="H300" s="111">
        <v>361620.57555000001</v>
      </c>
      <c r="P300" t="s">
        <v>25</v>
      </c>
      <c r="R300" s="97" t="s">
        <v>25</v>
      </c>
      <c r="S300" s="93"/>
      <c r="U300" s="206" t="s">
        <v>5215</v>
      </c>
      <c r="V300" s="206">
        <v>1254</v>
      </c>
      <c r="W300" s="111">
        <v>558.24400000000003</v>
      </c>
      <c r="X300" s="111">
        <f t="shared" si="87"/>
        <v>700037.97600000002</v>
      </c>
      <c r="Y300" s="36" t="s">
        <v>4406</v>
      </c>
      <c r="AI300" s="97">
        <v>9</v>
      </c>
      <c r="AJ300" s="97" t="s">
        <v>4264</v>
      </c>
      <c r="AK300" s="115">
        <v>13000000</v>
      </c>
      <c r="AL300" s="97">
        <v>2</v>
      </c>
      <c r="AM300" s="97">
        <f t="shared" si="88"/>
        <v>897</v>
      </c>
      <c r="AN300" s="97">
        <f t="shared" si="89"/>
        <v>11661000000</v>
      </c>
      <c r="AO300" s="97"/>
      <c r="AS300" t="s">
        <v>25</v>
      </c>
    </row>
    <row r="301" spans="7:45">
      <c r="G301" s="206" t="s">
        <v>7054</v>
      </c>
      <c r="H301" s="111">
        <v>761310.51884999999</v>
      </c>
      <c r="R301" s="97"/>
      <c r="S301" s="93">
        <f>SUM(S240:S300)</f>
        <v>151842622.43317199</v>
      </c>
      <c r="U301" s="166" t="s">
        <v>5215</v>
      </c>
      <c r="V301" s="206">
        <v>-358</v>
      </c>
      <c r="W301" s="111">
        <v>558.24400000000003</v>
      </c>
      <c r="X301" s="111">
        <f t="shared" si="87"/>
        <v>-199851.35200000001</v>
      </c>
      <c r="Y301" s="36" t="s">
        <v>743</v>
      </c>
      <c r="AA301" t="s">
        <v>25</v>
      </c>
      <c r="AI301" s="97">
        <v>10</v>
      </c>
      <c r="AJ301" s="97" t="s">
        <v>4287</v>
      </c>
      <c r="AK301" s="115">
        <v>10000000</v>
      </c>
      <c r="AL301" s="97">
        <v>3</v>
      </c>
      <c r="AM301" s="97">
        <f t="shared" si="88"/>
        <v>895</v>
      </c>
      <c r="AN301" s="97">
        <f t="shared" si="89"/>
        <v>8950000000</v>
      </c>
      <c r="AO301" s="97"/>
    </row>
    <row r="302" spans="7:45">
      <c r="G302" s="206" t="s">
        <v>7057</v>
      </c>
      <c r="H302" s="111">
        <v>3047100.3041699999</v>
      </c>
      <c r="S302" s="97" t="s">
        <v>6</v>
      </c>
      <c r="U302" s="187" t="s">
        <v>5234</v>
      </c>
      <c r="V302" s="187">
        <v>63259</v>
      </c>
      <c r="W302" s="186">
        <v>632.31960000000004</v>
      </c>
      <c r="X302" s="186">
        <f t="shared" si="87"/>
        <v>39999905.576400004</v>
      </c>
      <c r="Y302" s="260" t="s">
        <v>1069</v>
      </c>
      <c r="AI302" s="97">
        <v>11</v>
      </c>
      <c r="AJ302" s="97" t="s">
        <v>4276</v>
      </c>
      <c r="AK302" s="115">
        <v>3400000</v>
      </c>
      <c r="AL302" s="97">
        <v>9</v>
      </c>
      <c r="AM302" s="97">
        <f t="shared" si="88"/>
        <v>892</v>
      </c>
      <c r="AN302" s="97">
        <f t="shared" si="89"/>
        <v>3032800000</v>
      </c>
      <c r="AO302" s="97"/>
    </row>
    <row r="303" spans="7:45">
      <c r="G303" s="206"/>
      <c r="H303" s="111"/>
      <c r="I303" t="s">
        <v>25</v>
      </c>
      <c r="S303" t="s">
        <v>25</v>
      </c>
      <c r="U303" s="19" t="s">
        <v>5238</v>
      </c>
      <c r="V303" s="19">
        <v>-1278</v>
      </c>
      <c r="W303" s="115">
        <v>625.98</v>
      </c>
      <c r="X303" s="115">
        <f t="shared" si="87"/>
        <v>-800002.44000000006</v>
      </c>
      <c r="Y303" s="261" t="s">
        <v>5239</v>
      </c>
      <c r="AI303" s="97">
        <v>12</v>
      </c>
      <c r="AJ303" s="97" t="s">
        <v>4313</v>
      </c>
      <c r="AK303" s="115">
        <v>-8736514</v>
      </c>
      <c r="AL303" s="97">
        <v>1</v>
      </c>
      <c r="AM303" s="97">
        <f>AL303+AM304</f>
        <v>883</v>
      </c>
      <c r="AN303" s="97">
        <f t="shared" si="89"/>
        <v>-7714341862</v>
      </c>
      <c r="AO303" s="97"/>
    </row>
    <row r="304" spans="7:45">
      <c r="G304" s="206"/>
      <c r="H304" s="111"/>
      <c r="J304" t="s">
        <v>25</v>
      </c>
      <c r="K304" t="s">
        <v>25</v>
      </c>
      <c r="R304" s="97" t="s">
        <v>452</v>
      </c>
      <c r="U304" s="19" t="s">
        <v>5243</v>
      </c>
      <c r="V304" s="19">
        <v>32049</v>
      </c>
      <c r="W304" s="115">
        <v>624.04600000000005</v>
      </c>
      <c r="X304" s="115">
        <f t="shared" si="87"/>
        <v>20000050.254000001</v>
      </c>
      <c r="Y304" s="261" t="s">
        <v>5108</v>
      </c>
      <c r="AA304" t="s">
        <v>25</v>
      </c>
      <c r="AI304" s="97">
        <v>13</v>
      </c>
      <c r="AJ304" s="97" t="s">
        <v>4314</v>
      </c>
      <c r="AK304" s="115">
        <v>555000</v>
      </c>
      <c r="AL304" s="97">
        <v>5</v>
      </c>
      <c r="AM304" s="97">
        <f t="shared" ref="AM304:AM320" si="90">AL304+AM305</f>
        <v>882</v>
      </c>
      <c r="AN304" s="97">
        <f t="shared" si="89"/>
        <v>489510000</v>
      </c>
      <c r="AO304" s="97"/>
    </row>
    <row r="305" spans="7:41" ht="30">
      <c r="G305" s="206"/>
      <c r="H305" s="111"/>
      <c r="O305" t="s">
        <v>25</v>
      </c>
      <c r="R305" s="97" t="s">
        <v>4399</v>
      </c>
      <c r="S305" s="97"/>
      <c r="U305" s="19" t="s">
        <v>5250</v>
      </c>
      <c r="V305" s="19">
        <v>45094</v>
      </c>
      <c r="W305" s="115">
        <v>614.13559759999998</v>
      </c>
      <c r="X305" s="115">
        <f t="shared" si="87"/>
        <v>27693830.6381744</v>
      </c>
      <c r="Y305" s="261" t="s">
        <v>5252</v>
      </c>
      <c r="Z305" t="s">
        <v>25</v>
      </c>
      <c r="AI305" s="97">
        <v>14</v>
      </c>
      <c r="AJ305" s="97" t="s">
        <v>4338</v>
      </c>
      <c r="AK305" s="115">
        <v>-448308</v>
      </c>
      <c r="AL305" s="97">
        <v>6</v>
      </c>
      <c r="AM305" s="97">
        <f t="shared" si="90"/>
        <v>877</v>
      </c>
      <c r="AN305" s="97">
        <f t="shared" si="89"/>
        <v>-393166116</v>
      </c>
      <c r="AO305" s="97"/>
    </row>
    <row r="306" spans="7:41" ht="30">
      <c r="G306" s="206"/>
      <c r="H306" s="111"/>
      <c r="R306" s="97" t="s">
        <v>4443</v>
      </c>
      <c r="S306" s="93">
        <v>63115000</v>
      </c>
      <c r="U306" s="19" t="s">
        <v>5277</v>
      </c>
      <c r="V306" s="19">
        <v>-11804</v>
      </c>
      <c r="W306" s="115">
        <v>762.46640000000002</v>
      </c>
      <c r="X306" s="115">
        <f t="shared" si="87"/>
        <v>-9000153.3856000006</v>
      </c>
      <c r="Y306" s="261" t="s">
        <v>5279</v>
      </c>
      <c r="AI306" s="97">
        <v>15</v>
      </c>
      <c r="AJ306" s="97" t="s">
        <v>4365</v>
      </c>
      <c r="AK306" s="115">
        <v>33225</v>
      </c>
      <c r="AL306" s="97">
        <v>0</v>
      </c>
      <c r="AM306" s="97">
        <f t="shared" si="90"/>
        <v>871</v>
      </c>
      <c r="AN306" s="97">
        <f t="shared" si="89"/>
        <v>28938975</v>
      </c>
      <c r="AO306" s="97"/>
    </row>
    <row r="307" spans="7:41">
      <c r="G307" s="206"/>
      <c r="H307" s="111"/>
      <c r="J307" t="s">
        <v>25</v>
      </c>
      <c r="R307" s="97" t="s">
        <v>4451</v>
      </c>
      <c r="S307" s="93">
        <v>13300000</v>
      </c>
      <c r="U307" s="19" t="s">
        <v>5321</v>
      </c>
      <c r="V307" s="19">
        <v>844</v>
      </c>
      <c r="W307" s="115">
        <v>830</v>
      </c>
      <c r="X307" s="115">
        <f t="shared" si="87"/>
        <v>700520</v>
      </c>
      <c r="Y307" s="261" t="s">
        <v>4406</v>
      </c>
      <c r="Z307" t="s">
        <v>25</v>
      </c>
      <c r="AI307" s="147">
        <v>16</v>
      </c>
      <c r="AJ307" s="147" t="s">
        <v>4365</v>
      </c>
      <c r="AK307" s="186">
        <v>4098523</v>
      </c>
      <c r="AL307" s="147">
        <v>2</v>
      </c>
      <c r="AM307" s="147">
        <f t="shared" si="90"/>
        <v>871</v>
      </c>
      <c r="AN307" s="147">
        <f t="shared" si="89"/>
        <v>3569813533</v>
      </c>
      <c r="AO307" s="147" t="s">
        <v>649</v>
      </c>
    </row>
    <row r="308" spans="7:41">
      <c r="G308" s="206"/>
      <c r="H308" s="111"/>
      <c r="R308" s="97" t="s">
        <v>4549</v>
      </c>
      <c r="S308" s="93">
        <v>2269000</v>
      </c>
      <c r="U308" s="19" t="s">
        <v>5325</v>
      </c>
      <c r="V308" s="19">
        <v>8662</v>
      </c>
      <c r="W308" s="115">
        <v>832.57011999999997</v>
      </c>
      <c r="X308" s="115">
        <f t="shared" si="87"/>
        <v>7211722.3794399993</v>
      </c>
      <c r="Y308" s="261" t="s">
        <v>5103</v>
      </c>
      <c r="AA308" t="s">
        <v>25</v>
      </c>
      <c r="AI308" s="147">
        <v>17</v>
      </c>
      <c r="AJ308" s="147" t="s">
        <v>4376</v>
      </c>
      <c r="AK308" s="186">
        <v>-1000000</v>
      </c>
      <c r="AL308" s="147">
        <v>7</v>
      </c>
      <c r="AM308" s="147">
        <f t="shared" si="90"/>
        <v>869</v>
      </c>
      <c r="AN308" s="147">
        <f t="shared" si="89"/>
        <v>-869000000</v>
      </c>
      <c r="AO308" s="147" t="s">
        <v>649</v>
      </c>
    </row>
    <row r="309" spans="7:41" ht="30">
      <c r="G309" s="206"/>
      <c r="H309" s="111"/>
      <c r="R309" s="97" t="s">
        <v>4558</v>
      </c>
      <c r="S309" s="93">
        <v>25071612</v>
      </c>
      <c r="U309" s="19" t="s">
        <v>5326</v>
      </c>
      <c r="V309" s="19">
        <v>10253</v>
      </c>
      <c r="W309" s="115">
        <v>827.2568</v>
      </c>
      <c r="X309" s="115">
        <f t="shared" si="87"/>
        <v>8481863.9704</v>
      </c>
      <c r="Y309" s="261" t="s">
        <v>5329</v>
      </c>
      <c r="AB309" t="s">
        <v>25</v>
      </c>
      <c r="AI309" s="147">
        <v>18</v>
      </c>
      <c r="AJ309" s="147" t="s">
        <v>4396</v>
      </c>
      <c r="AK309" s="186">
        <v>750000</v>
      </c>
      <c r="AL309" s="147">
        <v>1</v>
      </c>
      <c r="AM309" s="147">
        <f t="shared" si="90"/>
        <v>862</v>
      </c>
      <c r="AN309" s="147">
        <f t="shared" si="89"/>
        <v>646500000</v>
      </c>
      <c r="AO309" s="147" t="s">
        <v>649</v>
      </c>
    </row>
    <row r="310" spans="7:41">
      <c r="G310" s="206"/>
      <c r="H310" s="111"/>
      <c r="P310" t="s">
        <v>25</v>
      </c>
      <c r="R310" s="97" t="s">
        <v>4559</v>
      </c>
      <c r="S310" s="93">
        <v>42236984</v>
      </c>
      <c r="U310" s="230" t="s">
        <v>5330</v>
      </c>
      <c r="V310" s="230">
        <v>-33077</v>
      </c>
      <c r="W310" s="231">
        <v>786.02973999999995</v>
      </c>
      <c r="X310" s="231">
        <f t="shared" si="87"/>
        <v>-25999505.70998</v>
      </c>
      <c r="Y310" s="269" t="s">
        <v>5332</v>
      </c>
      <c r="AI310" s="192">
        <v>19</v>
      </c>
      <c r="AJ310" s="192" t="s">
        <v>4397</v>
      </c>
      <c r="AK310" s="193">
        <v>-604152</v>
      </c>
      <c r="AL310" s="192">
        <v>0</v>
      </c>
      <c r="AM310" s="192">
        <f t="shared" si="90"/>
        <v>861</v>
      </c>
      <c r="AN310" s="192">
        <f t="shared" si="89"/>
        <v>-520174872</v>
      </c>
      <c r="AO310" s="192" t="s">
        <v>649</v>
      </c>
    </row>
    <row r="311" spans="7:41">
      <c r="G311" s="206"/>
      <c r="H311" s="111"/>
      <c r="P311" t="s">
        <v>25</v>
      </c>
      <c r="R311" s="97" t="s">
        <v>4580</v>
      </c>
      <c r="S311" s="93">
        <v>19663646</v>
      </c>
      <c r="U311" s="19" t="s">
        <v>5330</v>
      </c>
      <c r="V311" s="19">
        <v>-33077</v>
      </c>
      <c r="W311" s="115">
        <v>786.02973999999995</v>
      </c>
      <c r="X311" s="115">
        <f t="shared" si="87"/>
        <v>-25999505.70998</v>
      </c>
      <c r="Y311" s="261" t="s">
        <v>5333</v>
      </c>
      <c r="Z311" t="s">
        <v>25</v>
      </c>
      <c r="AI311" s="97">
        <v>20</v>
      </c>
      <c r="AJ311" s="97" t="s">
        <v>4398</v>
      </c>
      <c r="AK311" s="115">
        <v>-587083</v>
      </c>
      <c r="AL311" s="97">
        <v>4</v>
      </c>
      <c r="AM311" s="97">
        <f t="shared" si="90"/>
        <v>861</v>
      </c>
      <c r="AN311" s="97">
        <f t="shared" si="89"/>
        <v>-505478463</v>
      </c>
      <c r="AO311" s="97"/>
    </row>
    <row r="312" spans="7:41">
      <c r="G312" s="206"/>
      <c r="H312" s="111"/>
      <c r="R312" s="97" t="s">
        <v>4591</v>
      </c>
      <c r="S312" s="93">
        <v>4374525</v>
      </c>
      <c r="U312" s="19" t="s">
        <v>5330</v>
      </c>
      <c r="V312" s="19">
        <v>1983</v>
      </c>
      <c r="W312" s="115">
        <v>786.02973999999995</v>
      </c>
      <c r="X312" s="115">
        <f t="shared" si="87"/>
        <v>1558696.9744199999</v>
      </c>
      <c r="Y312" s="261" t="s">
        <v>5103</v>
      </c>
      <c r="AI312" s="192">
        <v>21</v>
      </c>
      <c r="AJ312" s="192" t="s">
        <v>4399</v>
      </c>
      <c r="AK312" s="193">
        <v>-754351</v>
      </c>
      <c r="AL312" s="192">
        <v>0</v>
      </c>
      <c r="AM312" s="147">
        <f t="shared" si="90"/>
        <v>857</v>
      </c>
      <c r="AN312" s="192">
        <f t="shared" si="89"/>
        <v>-646478807</v>
      </c>
      <c r="AO312" s="192" t="s">
        <v>649</v>
      </c>
    </row>
    <row r="313" spans="7:41">
      <c r="G313" s="206"/>
      <c r="H313" s="111"/>
      <c r="R313" s="97" t="s">
        <v>4593</v>
      </c>
      <c r="S313" s="93">
        <v>6550580</v>
      </c>
      <c r="U313" s="230" t="s">
        <v>5334</v>
      </c>
      <c r="V313" s="230">
        <v>-119753</v>
      </c>
      <c r="W313" s="231">
        <v>800.81560000000002</v>
      </c>
      <c r="X313" s="231">
        <f t="shared" si="87"/>
        <v>-95900070.546800002</v>
      </c>
      <c r="Y313" s="269" t="s">
        <v>5332</v>
      </c>
      <c r="AI313" s="97">
        <v>22</v>
      </c>
      <c r="AJ313" s="97" t="s">
        <v>4399</v>
      </c>
      <c r="AK313" s="115">
        <v>-189619</v>
      </c>
      <c r="AL313" s="97">
        <v>15</v>
      </c>
      <c r="AM313" s="97">
        <f t="shared" si="90"/>
        <v>857</v>
      </c>
      <c r="AN313" s="97">
        <f t="shared" si="89"/>
        <v>-162503483</v>
      </c>
      <c r="AO313" s="97"/>
    </row>
    <row r="314" spans="7:41">
      <c r="G314" s="206"/>
      <c r="H314" s="111"/>
      <c r="R314" s="97" t="s">
        <v>4609</v>
      </c>
      <c r="S314" s="93">
        <v>7054895</v>
      </c>
      <c r="U314" s="19" t="s">
        <v>5334</v>
      </c>
      <c r="V314" s="19">
        <v>-119753</v>
      </c>
      <c r="W314" s="115">
        <v>800.81560000000002</v>
      </c>
      <c r="X314" s="115">
        <f t="shared" si="87"/>
        <v>-95900070.546800002</v>
      </c>
      <c r="Y314" s="261" t="s">
        <v>5333</v>
      </c>
      <c r="AI314" s="192">
        <v>23</v>
      </c>
      <c r="AJ314" s="192" t="s">
        <v>4459</v>
      </c>
      <c r="AK314" s="186">
        <v>7100</v>
      </c>
      <c r="AL314" s="192">
        <v>0</v>
      </c>
      <c r="AM314" s="147">
        <f t="shared" si="90"/>
        <v>842</v>
      </c>
      <c r="AN314" s="192">
        <f t="shared" si="89"/>
        <v>5978200</v>
      </c>
      <c r="AO314" s="192" t="s">
        <v>649</v>
      </c>
    </row>
    <row r="315" spans="7:41">
      <c r="G315" s="206"/>
      <c r="H315" s="111"/>
      <c r="R315" s="97" t="s">
        <v>4620</v>
      </c>
      <c r="S315" s="93">
        <v>2145814</v>
      </c>
      <c r="T315" s="112"/>
      <c r="U315" s="19" t="s">
        <v>5334</v>
      </c>
      <c r="V315" s="19">
        <v>11291</v>
      </c>
      <c r="W315" s="115">
        <v>800.81560000000002</v>
      </c>
      <c r="X315" s="115">
        <f t="shared" si="87"/>
        <v>9042008.9396000002</v>
      </c>
      <c r="Y315" s="261" t="s">
        <v>452</v>
      </c>
      <c r="AB315" t="s">
        <v>25</v>
      </c>
      <c r="AI315" s="20">
        <v>24</v>
      </c>
      <c r="AJ315" s="20" t="s">
        <v>4459</v>
      </c>
      <c r="AK315" s="115">
        <v>-147902</v>
      </c>
      <c r="AL315" s="20">
        <v>3</v>
      </c>
      <c r="AM315" s="97">
        <f t="shared" si="90"/>
        <v>842</v>
      </c>
      <c r="AN315" s="20">
        <f t="shared" si="89"/>
        <v>-124533484</v>
      </c>
      <c r="AO315" s="20"/>
    </row>
    <row r="316" spans="7:41">
      <c r="G316" s="206"/>
      <c r="H316" s="111"/>
      <c r="R316" s="97" t="s">
        <v>4622</v>
      </c>
      <c r="S316" s="93">
        <v>4369730</v>
      </c>
      <c r="U316" s="187" t="s">
        <v>5335</v>
      </c>
      <c r="V316" s="187">
        <v>-35361</v>
      </c>
      <c r="W316" s="186">
        <v>818.697</v>
      </c>
      <c r="X316" s="186">
        <f t="shared" si="87"/>
        <v>-28949944.616999999</v>
      </c>
      <c r="Y316" s="260" t="s">
        <v>5332</v>
      </c>
      <c r="Z316" t="s">
        <v>25</v>
      </c>
      <c r="AI316" s="147">
        <v>25</v>
      </c>
      <c r="AJ316" s="147" t="s">
        <v>4467</v>
      </c>
      <c r="AK316" s="186">
        <v>-37200</v>
      </c>
      <c r="AL316" s="147">
        <v>4</v>
      </c>
      <c r="AM316" s="147">
        <f t="shared" si="90"/>
        <v>839</v>
      </c>
      <c r="AN316" s="192">
        <f t="shared" si="89"/>
        <v>-31210800</v>
      </c>
      <c r="AO316" s="147" t="s">
        <v>649</v>
      </c>
    </row>
    <row r="317" spans="7:41">
      <c r="G317" s="206"/>
      <c r="H317" s="111"/>
      <c r="R317" s="97" t="s">
        <v>4631</v>
      </c>
      <c r="S317" s="93">
        <v>8739459</v>
      </c>
      <c r="U317" s="19" t="s">
        <v>5335</v>
      </c>
      <c r="V317" s="19">
        <v>-35361</v>
      </c>
      <c r="W317" s="115">
        <v>818.697</v>
      </c>
      <c r="X317" s="115">
        <f t="shared" si="87"/>
        <v>-28949944.616999999</v>
      </c>
      <c r="Y317" s="261" t="s">
        <v>5333</v>
      </c>
      <c r="Z317" t="s">
        <v>25</v>
      </c>
      <c r="AA317" t="s">
        <v>25</v>
      </c>
      <c r="AI317" s="97">
        <v>26</v>
      </c>
      <c r="AJ317" s="97" t="s">
        <v>4494</v>
      </c>
      <c r="AK317" s="115">
        <v>-372326</v>
      </c>
      <c r="AL317" s="97">
        <v>21</v>
      </c>
      <c r="AM317" s="97">
        <f t="shared" si="90"/>
        <v>835</v>
      </c>
      <c r="AN317" s="20">
        <f t="shared" si="89"/>
        <v>-310892210</v>
      </c>
      <c r="AO317" s="97"/>
    </row>
    <row r="318" spans="7:41">
      <c r="G318" s="206" t="s">
        <v>5479</v>
      </c>
      <c r="H318" s="111">
        <v>-87000000</v>
      </c>
      <c r="R318" s="97" t="s">
        <v>3666</v>
      </c>
      <c r="S318" s="93">
        <v>6667654</v>
      </c>
      <c r="U318" s="19" t="s">
        <v>5335</v>
      </c>
      <c r="V318" s="19">
        <v>116</v>
      </c>
      <c r="W318" s="115">
        <v>818.697</v>
      </c>
      <c r="X318" s="115">
        <f t="shared" si="87"/>
        <v>94968.851999999999</v>
      </c>
      <c r="Y318" s="261" t="s">
        <v>5103</v>
      </c>
      <c r="AI318" s="97">
        <v>27</v>
      </c>
      <c r="AJ318" s="97" t="s">
        <v>4541</v>
      </c>
      <c r="AK318" s="115">
        <v>235062</v>
      </c>
      <c r="AL318" s="97">
        <v>0</v>
      </c>
      <c r="AM318" s="97">
        <f t="shared" si="90"/>
        <v>814</v>
      </c>
      <c r="AN318" s="20">
        <f t="shared" si="89"/>
        <v>191340468</v>
      </c>
      <c r="AO318" s="97"/>
    </row>
    <row r="319" spans="7:41">
      <c r="G319" s="206"/>
      <c r="H319" s="111"/>
      <c r="R319" s="97" t="s">
        <v>4643</v>
      </c>
      <c r="S319" s="93">
        <v>8981245</v>
      </c>
      <c r="U319" s="19" t="s">
        <v>5339</v>
      </c>
      <c r="V319" s="19">
        <v>48633</v>
      </c>
      <c r="W319" s="115">
        <v>822.47199999999998</v>
      </c>
      <c r="X319" s="115">
        <f t="shared" si="87"/>
        <v>39999280.776000001</v>
      </c>
      <c r="Y319" s="261" t="s">
        <v>5342</v>
      </c>
      <c r="AB319" t="s">
        <v>25</v>
      </c>
      <c r="AI319" s="147">
        <v>28</v>
      </c>
      <c r="AJ319" s="147" t="s">
        <v>4541</v>
      </c>
      <c r="AK319" s="186">
        <v>235062</v>
      </c>
      <c r="AL319" s="147">
        <v>9</v>
      </c>
      <c r="AM319" s="97">
        <f t="shared" si="90"/>
        <v>814</v>
      </c>
      <c r="AN319" s="147">
        <f t="shared" si="89"/>
        <v>191340468</v>
      </c>
      <c r="AO319" s="147" t="s">
        <v>649</v>
      </c>
    </row>
    <row r="320" spans="7:41">
      <c r="G320" s="206"/>
      <c r="H320" s="1"/>
      <c r="R320" s="97" t="s">
        <v>4646</v>
      </c>
      <c r="S320" s="93">
        <v>9181756</v>
      </c>
      <c r="U320" s="19" t="s">
        <v>5339</v>
      </c>
      <c r="V320" s="19">
        <v>3412</v>
      </c>
      <c r="W320" s="115">
        <v>822.47199999999998</v>
      </c>
      <c r="X320" s="115">
        <f t="shared" si="87"/>
        <v>2806274.4640000002</v>
      </c>
      <c r="Y320" s="261" t="s">
        <v>5344</v>
      </c>
      <c r="AI320" s="147">
        <v>29</v>
      </c>
      <c r="AJ320" s="147" t="s">
        <v>4559</v>
      </c>
      <c r="AK320" s="186">
        <v>450000</v>
      </c>
      <c r="AL320" s="147">
        <v>0</v>
      </c>
      <c r="AM320" s="97">
        <f t="shared" si="90"/>
        <v>805</v>
      </c>
      <c r="AN320" s="147">
        <f t="shared" si="89"/>
        <v>362250000</v>
      </c>
      <c r="AO320" s="147" t="s">
        <v>649</v>
      </c>
    </row>
    <row r="321" spans="7:45">
      <c r="G321" s="206"/>
      <c r="H321" s="1"/>
      <c r="R321" s="97" t="s">
        <v>4659</v>
      </c>
      <c r="S321" s="93">
        <v>11811208</v>
      </c>
      <c r="U321" s="19" t="s">
        <v>5340</v>
      </c>
      <c r="V321" s="19">
        <v>1531</v>
      </c>
      <c r="W321" s="115">
        <v>869.82500000000005</v>
      </c>
      <c r="X321" s="115">
        <f t="shared" si="87"/>
        <v>1331702.075</v>
      </c>
      <c r="Y321" s="261" t="s">
        <v>5345</v>
      </c>
      <c r="AI321" s="20">
        <v>30</v>
      </c>
      <c r="AJ321" s="20" t="s">
        <v>4559</v>
      </c>
      <c r="AK321" s="115">
        <v>450000</v>
      </c>
      <c r="AL321" s="20">
        <v>22</v>
      </c>
      <c r="AM321" s="97">
        <f>AL321+AM322</f>
        <v>805</v>
      </c>
      <c r="AN321" s="20">
        <f t="shared" si="89"/>
        <v>362250000</v>
      </c>
      <c r="AO321" s="20"/>
    </row>
    <row r="322" spans="7:45">
      <c r="G322" s="206"/>
      <c r="H322" s="1"/>
      <c r="R322" s="97" t="s">
        <v>4666</v>
      </c>
      <c r="S322" s="93">
        <v>41248054</v>
      </c>
      <c r="U322" s="19" t="s">
        <v>5348</v>
      </c>
      <c r="V322" s="19">
        <v>1019</v>
      </c>
      <c r="W322" s="115">
        <v>835.36580000000004</v>
      </c>
      <c r="X322" s="115">
        <f t="shared" si="87"/>
        <v>851237.75020000001</v>
      </c>
      <c r="Y322" s="261" t="s">
        <v>452</v>
      </c>
      <c r="AI322" s="147">
        <v>31</v>
      </c>
      <c r="AJ322" s="147" t="s">
        <v>4622</v>
      </c>
      <c r="AK322" s="186">
        <v>300000</v>
      </c>
      <c r="AL322" s="147">
        <v>0</v>
      </c>
      <c r="AM322" s="147">
        <f t="shared" ref="AM322:AM337" si="91">AL322+AM323</f>
        <v>783</v>
      </c>
      <c r="AN322" s="147">
        <f t="shared" ref="AN322:AN331" si="92">AK322*AM322</f>
        <v>234900000</v>
      </c>
      <c r="AO322" s="147"/>
    </row>
    <row r="323" spans="7:45" ht="30">
      <c r="G323" s="206" t="s">
        <v>6</v>
      </c>
      <c r="H323" s="1">
        <f>SUM(H163:H322)</f>
        <v>1515347440.5958793</v>
      </c>
      <c r="R323" s="97" t="s">
        <v>4672</v>
      </c>
      <c r="S323" s="93">
        <v>37328780</v>
      </c>
      <c r="U323" s="187" t="s">
        <v>5354</v>
      </c>
      <c r="V323" s="187">
        <v>2316</v>
      </c>
      <c r="W323" s="186">
        <v>818.697</v>
      </c>
      <c r="X323" s="186">
        <f t="shared" si="87"/>
        <v>1896102.2520000001</v>
      </c>
      <c r="Y323" s="260" t="s">
        <v>5357</v>
      </c>
      <c r="AI323" s="119">
        <v>32</v>
      </c>
      <c r="AJ323" s="119" t="s">
        <v>4622</v>
      </c>
      <c r="AK323" s="77">
        <v>288936</v>
      </c>
      <c r="AL323" s="119">
        <v>3</v>
      </c>
      <c r="AM323" s="119">
        <f t="shared" si="91"/>
        <v>783</v>
      </c>
      <c r="AN323" s="119">
        <f t="shared" si="92"/>
        <v>226236888</v>
      </c>
      <c r="AO323" s="201" t="s">
        <v>4633</v>
      </c>
    </row>
    <row r="324" spans="7:45">
      <c r="G324" s="280"/>
      <c r="H324" s="1"/>
      <c r="R324" s="97" t="s">
        <v>4730</v>
      </c>
      <c r="S324" s="93">
        <v>50000000</v>
      </c>
      <c r="U324" s="19" t="s">
        <v>5360</v>
      </c>
      <c r="V324" s="19">
        <v>315</v>
      </c>
      <c r="W324" s="115">
        <v>680</v>
      </c>
      <c r="X324" s="115">
        <f t="shared" si="87"/>
        <v>214200</v>
      </c>
      <c r="Y324" s="261" t="s">
        <v>5103</v>
      </c>
      <c r="AI324" s="119">
        <v>33</v>
      </c>
      <c r="AJ324" s="119" t="s">
        <v>4631</v>
      </c>
      <c r="AK324" s="77">
        <v>17962491</v>
      </c>
      <c r="AL324" s="119">
        <v>1</v>
      </c>
      <c r="AM324" s="119">
        <f t="shared" si="91"/>
        <v>780</v>
      </c>
      <c r="AN324" s="119">
        <f t="shared" si="92"/>
        <v>14010742980</v>
      </c>
      <c r="AO324" s="119" t="s">
        <v>4638</v>
      </c>
    </row>
    <row r="325" spans="7:45">
      <c r="R325" s="97" t="s">
        <v>4739</v>
      </c>
      <c r="S325" s="93">
        <v>68656</v>
      </c>
      <c r="U325" s="19" t="s">
        <v>5382</v>
      </c>
      <c r="V325" s="19">
        <v>832</v>
      </c>
      <c r="W325" s="115">
        <v>784.36500000000001</v>
      </c>
      <c r="X325" s="115">
        <f t="shared" si="87"/>
        <v>652591.68000000005</v>
      </c>
      <c r="Y325" s="261" t="s">
        <v>5103</v>
      </c>
      <c r="Z325" t="s">
        <v>25</v>
      </c>
      <c r="AI325" s="119">
        <v>34</v>
      </c>
      <c r="AJ325" s="119" t="s">
        <v>3666</v>
      </c>
      <c r="AK325" s="77">
        <v>18363511</v>
      </c>
      <c r="AL325" s="119">
        <v>1</v>
      </c>
      <c r="AM325" s="119">
        <f t="shared" si="91"/>
        <v>779</v>
      </c>
      <c r="AN325" s="119">
        <f t="shared" si="92"/>
        <v>14305175069</v>
      </c>
      <c r="AO325" s="119" t="s">
        <v>4638</v>
      </c>
    </row>
    <row r="326" spans="7:45">
      <c r="R326" s="97" t="s">
        <v>4739</v>
      </c>
      <c r="S326" s="93">
        <v>4000236</v>
      </c>
      <c r="U326" s="19" t="s">
        <v>5426</v>
      </c>
      <c r="V326" s="19">
        <v>382</v>
      </c>
      <c r="W326" s="115">
        <v>1450.6065000000001</v>
      </c>
      <c r="X326" s="115">
        <f t="shared" si="87"/>
        <v>554131.68300000008</v>
      </c>
      <c r="Y326" s="261" t="s">
        <v>5103</v>
      </c>
      <c r="Z326" t="s">
        <v>25</v>
      </c>
      <c r="AI326" s="119">
        <v>35</v>
      </c>
      <c r="AJ326" s="119" t="s">
        <v>4643</v>
      </c>
      <c r="AK326" s="77">
        <v>23622417</v>
      </c>
      <c r="AL326" s="119">
        <v>5</v>
      </c>
      <c r="AM326" s="119">
        <f t="shared" si="91"/>
        <v>778</v>
      </c>
      <c r="AN326" s="119">
        <f t="shared" si="92"/>
        <v>18378240426</v>
      </c>
      <c r="AO326" s="119" t="s">
        <v>4645</v>
      </c>
    </row>
    <row r="327" spans="7:45">
      <c r="G327" s="94"/>
      <c r="H327" s="9" t="s">
        <v>452</v>
      </c>
      <c r="R327" s="97" t="s">
        <v>4744</v>
      </c>
      <c r="S327" s="93">
        <v>2250000</v>
      </c>
      <c r="U327" s="19" t="s">
        <v>5427</v>
      </c>
      <c r="V327" s="19">
        <v>50047</v>
      </c>
      <c r="W327" s="115">
        <v>1406.14</v>
      </c>
      <c r="X327" s="115">
        <f t="shared" si="87"/>
        <v>70373088.579999998</v>
      </c>
      <c r="Y327" s="261" t="s">
        <v>5103</v>
      </c>
      <c r="AA327" t="s">
        <v>25</v>
      </c>
      <c r="AI327" s="119">
        <v>36</v>
      </c>
      <c r="AJ327" s="119" t="s">
        <v>4657</v>
      </c>
      <c r="AK327" s="77">
        <v>82496108</v>
      </c>
      <c r="AL327" s="119">
        <v>1</v>
      </c>
      <c r="AM327" s="119">
        <f t="shared" si="91"/>
        <v>773</v>
      </c>
      <c r="AN327" s="119">
        <f t="shared" si="92"/>
        <v>63769491484</v>
      </c>
      <c r="AO327" s="119" t="s">
        <v>4660</v>
      </c>
    </row>
    <row r="328" spans="7:45">
      <c r="G328" s="94"/>
      <c r="H328" s="9" t="s">
        <v>743</v>
      </c>
      <c r="R328" s="97" t="s">
        <v>4753</v>
      </c>
      <c r="S328" s="93">
        <v>-2512200</v>
      </c>
      <c r="U328" s="19" t="s">
        <v>5428</v>
      </c>
      <c r="V328" s="19">
        <v>846</v>
      </c>
      <c r="W328" s="115">
        <v>1441.6724569999999</v>
      </c>
      <c r="X328" s="115">
        <f t="shared" si="87"/>
        <v>1219654.8986219999</v>
      </c>
      <c r="Y328" s="261" t="s">
        <v>5103</v>
      </c>
      <c r="Z328" t="s">
        <v>25</v>
      </c>
      <c r="AA328" t="s">
        <v>25</v>
      </c>
      <c r="AI328" s="119">
        <v>37</v>
      </c>
      <c r="AJ328" s="119" t="s">
        <v>4659</v>
      </c>
      <c r="AK328" s="77">
        <v>74657561</v>
      </c>
      <c r="AL328" s="119">
        <v>16</v>
      </c>
      <c r="AM328" s="119">
        <f t="shared" si="91"/>
        <v>772</v>
      </c>
      <c r="AN328" s="119">
        <f t="shared" si="92"/>
        <v>57635637092</v>
      </c>
      <c r="AO328" s="119" t="s">
        <v>4665</v>
      </c>
    </row>
    <row r="329" spans="7:45">
      <c r="G329" s="94"/>
      <c r="H329" s="9" t="s">
        <v>5413</v>
      </c>
      <c r="R329" s="97" t="s">
        <v>964</v>
      </c>
      <c r="S329" s="93">
        <v>300000</v>
      </c>
      <c r="U329" s="19" t="s">
        <v>5429</v>
      </c>
      <c r="V329" s="19">
        <v>10573</v>
      </c>
      <c r="W329" s="115">
        <v>1451.825</v>
      </c>
      <c r="X329" s="115">
        <f t="shared" si="87"/>
        <v>15350145.725</v>
      </c>
      <c r="Y329" s="261" t="s">
        <v>5103</v>
      </c>
      <c r="Z329" t="s">
        <v>25</v>
      </c>
      <c r="AI329" s="97">
        <v>38</v>
      </c>
      <c r="AJ329" s="97" t="s">
        <v>4730</v>
      </c>
      <c r="AK329" s="115">
        <v>665000</v>
      </c>
      <c r="AL329" s="97">
        <v>0</v>
      </c>
      <c r="AM329" s="97">
        <f t="shared" si="91"/>
        <v>756</v>
      </c>
      <c r="AN329" s="20">
        <f t="shared" si="92"/>
        <v>502740000</v>
      </c>
      <c r="AO329" s="97"/>
    </row>
    <row r="330" spans="7:45" ht="30">
      <c r="G330" s="94"/>
      <c r="H330" s="9" t="s">
        <v>1069</v>
      </c>
      <c r="R330" s="97" t="s">
        <v>4759</v>
      </c>
      <c r="S330" s="93">
        <v>1100000</v>
      </c>
      <c r="U330" s="19" t="s">
        <v>5430</v>
      </c>
      <c r="V330" s="19">
        <v>85</v>
      </c>
      <c r="W330" s="115">
        <v>1423.74</v>
      </c>
      <c r="X330" s="115">
        <f t="shared" si="87"/>
        <v>121017.9</v>
      </c>
      <c r="Y330" s="261" t="s">
        <v>5431</v>
      </c>
      <c r="Z330" t="s">
        <v>25</v>
      </c>
      <c r="AI330" s="147">
        <v>39</v>
      </c>
      <c r="AJ330" s="147" t="s">
        <v>4730</v>
      </c>
      <c r="AK330" s="186">
        <v>665000</v>
      </c>
      <c r="AL330" s="147">
        <v>4</v>
      </c>
      <c r="AM330" s="192">
        <f t="shared" si="91"/>
        <v>756</v>
      </c>
      <c r="AN330" s="192">
        <f t="shared" si="92"/>
        <v>502740000</v>
      </c>
      <c r="AO330" s="192"/>
    </row>
    <row r="331" spans="7:45" ht="30">
      <c r="H331" s="9" t="s">
        <v>5350</v>
      </c>
      <c r="R331" s="97" t="s">
        <v>4779</v>
      </c>
      <c r="S331" s="93">
        <v>890000</v>
      </c>
      <c r="U331" s="19" t="s">
        <v>5434</v>
      </c>
      <c r="V331" s="19">
        <v>738</v>
      </c>
      <c r="W331" s="115">
        <v>1388.87895</v>
      </c>
      <c r="X331" s="115">
        <f t="shared" si="87"/>
        <v>1024992.6651</v>
      </c>
      <c r="Y331" s="261" t="s">
        <v>5438</v>
      </c>
      <c r="Z331" t="s">
        <v>25</v>
      </c>
      <c r="AI331" s="20">
        <v>40</v>
      </c>
      <c r="AJ331" s="20" t="s">
        <v>4739</v>
      </c>
      <c r="AK331" s="115">
        <v>2000000</v>
      </c>
      <c r="AL331" s="20">
        <v>1</v>
      </c>
      <c r="AM331" s="97">
        <f t="shared" si="91"/>
        <v>752</v>
      </c>
      <c r="AN331" s="20">
        <f t="shared" si="92"/>
        <v>1504000000</v>
      </c>
      <c r="AO331" s="97"/>
    </row>
    <row r="332" spans="7:45">
      <c r="H332" s="9" t="s">
        <v>5513</v>
      </c>
      <c r="R332" s="97" t="s">
        <v>4780</v>
      </c>
      <c r="S332" s="93">
        <v>1000000</v>
      </c>
      <c r="U332" s="19" t="s">
        <v>5446</v>
      </c>
      <c r="V332" s="19">
        <v>1442</v>
      </c>
      <c r="W332" s="115">
        <v>1350.9547279999999</v>
      </c>
      <c r="X332" s="115">
        <f t="shared" si="87"/>
        <v>1948076.7177759998</v>
      </c>
      <c r="Y332" s="261" t="s">
        <v>5103</v>
      </c>
      <c r="AB332" t="s">
        <v>25</v>
      </c>
      <c r="AI332" s="20">
        <v>41</v>
      </c>
      <c r="AJ332" s="20" t="s">
        <v>4744</v>
      </c>
      <c r="AK332" s="115">
        <v>-2060725</v>
      </c>
      <c r="AL332" s="20">
        <v>0</v>
      </c>
      <c r="AM332" s="97">
        <f t="shared" si="91"/>
        <v>751</v>
      </c>
      <c r="AN332" s="20">
        <f t="shared" ref="AN332:AN337" si="93">AK332*AM332</f>
        <v>-1547604475</v>
      </c>
      <c r="AO332" s="97" t="s">
        <v>4745</v>
      </c>
      <c r="AS332" t="s">
        <v>25</v>
      </c>
    </row>
    <row r="333" spans="7:45">
      <c r="H333" s="281" t="s">
        <v>5514</v>
      </c>
      <c r="R333" s="97" t="s">
        <v>4780</v>
      </c>
      <c r="S333" s="93">
        <v>45436311</v>
      </c>
      <c r="U333" s="19" t="s">
        <v>5447</v>
      </c>
      <c r="V333" s="19">
        <v>36847</v>
      </c>
      <c r="W333" s="115">
        <v>1356.9658300000001</v>
      </c>
      <c r="X333" s="115">
        <f t="shared" si="87"/>
        <v>50000119.938010007</v>
      </c>
      <c r="Y333" s="261" t="s">
        <v>5108</v>
      </c>
      <c r="AI333" s="147">
        <v>42</v>
      </c>
      <c r="AJ333" s="147" t="s">
        <v>4744</v>
      </c>
      <c r="AK333" s="186">
        <v>-433375</v>
      </c>
      <c r="AL333" s="147">
        <v>0</v>
      </c>
      <c r="AM333" s="147">
        <f t="shared" si="91"/>
        <v>751</v>
      </c>
      <c r="AN333" s="147">
        <f t="shared" si="93"/>
        <v>-325464625</v>
      </c>
      <c r="AO333" s="147" t="s">
        <v>4746</v>
      </c>
    </row>
    <row r="334" spans="7:45" ht="30">
      <c r="H334" s="281" t="s">
        <v>743</v>
      </c>
      <c r="R334" s="97" t="s">
        <v>4792</v>
      </c>
      <c r="S334" s="93">
        <v>-3500000</v>
      </c>
      <c r="U334" s="19" t="s">
        <v>5448</v>
      </c>
      <c r="V334" s="19">
        <v>13738</v>
      </c>
      <c r="W334" s="115">
        <v>1455.82</v>
      </c>
      <c r="X334" s="115">
        <f t="shared" si="87"/>
        <v>20000055.16</v>
      </c>
      <c r="Y334" s="261" t="s">
        <v>5464</v>
      </c>
      <c r="Z334" t="s">
        <v>25</v>
      </c>
      <c r="AB334" t="s">
        <v>25</v>
      </c>
      <c r="AI334" s="20">
        <v>43</v>
      </c>
      <c r="AJ334" s="20" t="s">
        <v>4744</v>
      </c>
      <c r="AK334" s="115">
        <v>28000000</v>
      </c>
      <c r="AL334" s="20">
        <v>1</v>
      </c>
      <c r="AM334" s="97">
        <f t="shared" si="91"/>
        <v>751</v>
      </c>
      <c r="AN334" s="20">
        <f t="shared" si="93"/>
        <v>21028000000</v>
      </c>
      <c r="AO334" s="97" t="s">
        <v>3873</v>
      </c>
    </row>
    <row r="335" spans="7:45">
      <c r="H335" s="9" t="s">
        <v>5515</v>
      </c>
      <c r="R335" s="97" t="s">
        <v>4827</v>
      </c>
      <c r="S335" s="93">
        <v>2520000</v>
      </c>
      <c r="U335" s="19" t="s">
        <v>5471</v>
      </c>
      <c r="V335" s="19">
        <v>3100</v>
      </c>
      <c r="W335" s="115">
        <v>1853.4507470000001</v>
      </c>
      <c r="X335" s="115">
        <f t="shared" si="87"/>
        <v>5745697.3157000002</v>
      </c>
      <c r="Y335" s="261" t="s">
        <v>5103</v>
      </c>
      <c r="Z335" t="s">
        <v>25</v>
      </c>
      <c r="AI335" s="20">
        <v>44</v>
      </c>
      <c r="AJ335" s="20" t="s">
        <v>4753</v>
      </c>
      <c r="AK335" s="115">
        <v>160000</v>
      </c>
      <c r="AL335" s="20">
        <v>0</v>
      </c>
      <c r="AM335" s="97">
        <f t="shared" si="91"/>
        <v>750</v>
      </c>
      <c r="AN335" s="20">
        <f t="shared" si="93"/>
        <v>120000000</v>
      </c>
      <c r="AO335" s="97"/>
    </row>
    <row r="336" spans="7:45">
      <c r="H336" s="9" t="s">
        <v>5516</v>
      </c>
      <c r="R336" s="97" t="s">
        <v>4840</v>
      </c>
      <c r="S336" s="93">
        <v>4900000</v>
      </c>
      <c r="U336" s="19" t="s">
        <v>5472</v>
      </c>
      <c r="V336" s="19">
        <v>480</v>
      </c>
      <c r="W336" s="115">
        <v>1891.9962069999999</v>
      </c>
      <c r="X336" s="115">
        <f t="shared" si="87"/>
        <v>908158.17935999995</v>
      </c>
      <c r="Y336" s="261" t="s">
        <v>5103</v>
      </c>
      <c r="Z336" t="s">
        <v>25</v>
      </c>
      <c r="AI336" s="147">
        <v>45</v>
      </c>
      <c r="AJ336" s="147" t="s">
        <v>4753</v>
      </c>
      <c r="AK336" s="186">
        <v>70000</v>
      </c>
      <c r="AL336" s="147">
        <v>9</v>
      </c>
      <c r="AM336" s="147">
        <f t="shared" si="91"/>
        <v>750</v>
      </c>
      <c r="AN336" s="147">
        <f t="shared" si="93"/>
        <v>52500000</v>
      </c>
      <c r="AO336" s="147"/>
      <c r="AS336" t="s">
        <v>25</v>
      </c>
    </row>
    <row r="337" spans="8:47">
      <c r="H337" s="9" t="s">
        <v>5543</v>
      </c>
      <c r="R337" s="97" t="s">
        <v>4799</v>
      </c>
      <c r="S337" s="93">
        <v>1150000</v>
      </c>
      <c r="U337" s="19" t="s">
        <v>5473</v>
      </c>
      <c r="V337" s="19">
        <v>6522</v>
      </c>
      <c r="W337" s="115">
        <v>1938.4694340000001</v>
      </c>
      <c r="X337" s="115">
        <f t="shared" si="87"/>
        <v>12642697.648548001</v>
      </c>
      <c r="Y337" s="261" t="s">
        <v>5103</v>
      </c>
      <c r="AI337" s="20">
        <v>46</v>
      </c>
      <c r="AJ337" s="20" t="s">
        <v>4759</v>
      </c>
      <c r="AK337" s="115">
        <v>850000</v>
      </c>
      <c r="AL337" s="20">
        <v>0</v>
      </c>
      <c r="AM337" s="97">
        <f t="shared" si="91"/>
        <v>741</v>
      </c>
      <c r="AN337" s="20">
        <f t="shared" si="93"/>
        <v>629850000</v>
      </c>
      <c r="AO337" s="97"/>
      <c r="AT337" t="s">
        <v>25</v>
      </c>
    </row>
    <row r="338" spans="8:47">
      <c r="H338" s="281"/>
      <c r="R338" s="97" t="s">
        <v>4874</v>
      </c>
      <c r="S338" s="93">
        <v>250000</v>
      </c>
      <c r="U338" s="19" t="s">
        <v>5474</v>
      </c>
      <c r="V338" s="19">
        <v>6197</v>
      </c>
      <c r="W338" s="115">
        <v>1984.3985499999999</v>
      </c>
      <c r="X338" s="115">
        <f t="shared" si="87"/>
        <v>12297317.81435</v>
      </c>
      <c r="Y338" s="261" t="s">
        <v>5103</v>
      </c>
      <c r="AB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8:47">
      <c r="R339" s="97" t="s">
        <v>4877</v>
      </c>
      <c r="S339" s="93">
        <v>1403460</v>
      </c>
      <c r="U339" s="19" t="s">
        <v>5475</v>
      </c>
      <c r="V339" s="19">
        <v>4646</v>
      </c>
      <c r="W339" s="115">
        <v>1928.464023</v>
      </c>
      <c r="X339" s="115">
        <f t="shared" si="87"/>
        <v>8959643.8508579992</v>
      </c>
      <c r="Y339" s="261" t="s">
        <v>5103</v>
      </c>
      <c r="AA339" t="s">
        <v>25</v>
      </c>
      <c r="AB339" t="s">
        <v>25</v>
      </c>
      <c r="AI339" s="192">
        <v>48</v>
      </c>
      <c r="AJ339" s="192" t="s">
        <v>4772</v>
      </c>
      <c r="AK339" s="193">
        <v>30000000</v>
      </c>
      <c r="AL339" s="192">
        <v>27</v>
      </c>
      <c r="AM339" s="192">
        <f t="shared" si="94"/>
        <v>737</v>
      </c>
      <c r="AN339" s="192">
        <f t="shared" si="95"/>
        <v>22110000000</v>
      </c>
      <c r="AO339" s="192" t="s">
        <v>4773</v>
      </c>
      <c r="AT339" t="s">
        <v>25</v>
      </c>
    </row>
    <row r="340" spans="8:47">
      <c r="R340" s="97" t="s">
        <v>4882</v>
      </c>
      <c r="S340" s="93">
        <v>200000</v>
      </c>
      <c r="U340" s="19" t="s">
        <v>5476</v>
      </c>
      <c r="V340" s="19">
        <v>7668</v>
      </c>
      <c r="W340" s="115">
        <v>1976.2774959999999</v>
      </c>
      <c r="X340" s="115">
        <f t="shared" si="87"/>
        <v>15154095.839328</v>
      </c>
      <c r="Y340" s="261" t="s">
        <v>5103</v>
      </c>
      <c r="AI340" s="20">
        <v>49</v>
      </c>
      <c r="AJ340" s="20" t="s">
        <v>4840</v>
      </c>
      <c r="AK340" s="115">
        <v>1100000</v>
      </c>
      <c r="AL340" s="20">
        <v>1</v>
      </c>
      <c r="AM340" s="20">
        <f t="shared" si="94"/>
        <v>710</v>
      </c>
      <c r="AN340" s="20">
        <f t="shared" si="95"/>
        <v>781000000</v>
      </c>
      <c r="AO340" s="20"/>
    </row>
    <row r="341" spans="8:47" ht="30">
      <c r="R341" s="97" t="s">
        <v>4887</v>
      </c>
      <c r="S341" s="93">
        <v>345000</v>
      </c>
      <c r="U341" s="19" t="s">
        <v>5483</v>
      </c>
      <c r="V341" s="19">
        <v>-43325</v>
      </c>
      <c r="W341" s="115">
        <v>2146.5548840000001</v>
      </c>
      <c r="X341" s="115">
        <f t="shared" si="87"/>
        <v>-92999490.349300012</v>
      </c>
      <c r="Y341" s="261" t="s">
        <v>5484</v>
      </c>
      <c r="Z341" t="s">
        <v>25</v>
      </c>
      <c r="AI341" s="20">
        <v>50</v>
      </c>
      <c r="AJ341" s="20" t="s">
        <v>4841</v>
      </c>
      <c r="AK341" s="115">
        <v>450000</v>
      </c>
      <c r="AL341" s="20">
        <v>0</v>
      </c>
      <c r="AM341" s="20">
        <f t="shared" si="94"/>
        <v>709</v>
      </c>
      <c r="AN341" s="20">
        <f t="shared" si="95"/>
        <v>319050000</v>
      </c>
      <c r="AO341" s="20"/>
    </row>
    <row r="342" spans="8:47">
      <c r="R342" s="97" t="s">
        <v>4890</v>
      </c>
      <c r="S342" s="93">
        <v>900000</v>
      </c>
      <c r="T342" s="112"/>
      <c r="U342" s="19" t="s">
        <v>5491</v>
      </c>
      <c r="V342" s="19">
        <v>20888</v>
      </c>
      <c r="W342" s="115">
        <v>2428.4521530000002</v>
      </c>
      <c r="X342" s="115">
        <f t="shared" si="87"/>
        <v>50725508.571864001</v>
      </c>
      <c r="Y342" s="261" t="s">
        <v>5103</v>
      </c>
      <c r="AI342" s="147">
        <v>51</v>
      </c>
      <c r="AJ342" s="147" t="s">
        <v>4841</v>
      </c>
      <c r="AK342" s="186">
        <v>550000</v>
      </c>
      <c r="AL342" s="147">
        <v>1</v>
      </c>
      <c r="AM342" s="147">
        <f t="shared" si="94"/>
        <v>709</v>
      </c>
      <c r="AN342" s="147">
        <f t="shared" si="95"/>
        <v>389950000</v>
      </c>
      <c r="AO342" s="147"/>
    </row>
    <row r="343" spans="8:47">
      <c r="R343" s="97" t="s">
        <v>4898</v>
      </c>
      <c r="S343" s="93">
        <v>372517</v>
      </c>
      <c r="U343" s="19" t="s">
        <v>5492</v>
      </c>
      <c r="V343" s="19">
        <v>21663</v>
      </c>
      <c r="W343" s="115">
        <v>2308.0067819999999</v>
      </c>
      <c r="X343" s="115">
        <f t="shared" si="87"/>
        <v>49998350.918466002</v>
      </c>
      <c r="Y343" s="261" t="s">
        <v>5495</v>
      </c>
      <c r="Z343" t="s">
        <v>25</v>
      </c>
      <c r="AI343" s="147">
        <v>52</v>
      </c>
      <c r="AJ343" s="147" t="s">
        <v>4843</v>
      </c>
      <c r="AK343" s="186">
        <v>1000000</v>
      </c>
      <c r="AL343" s="147">
        <v>8</v>
      </c>
      <c r="AM343" s="147">
        <f t="shared" si="94"/>
        <v>708</v>
      </c>
      <c r="AN343" s="147">
        <f t="shared" si="95"/>
        <v>708000000</v>
      </c>
      <c r="AO343" s="147"/>
    </row>
    <row r="344" spans="8:47">
      <c r="R344" s="97" t="s">
        <v>4931</v>
      </c>
      <c r="S344" s="93">
        <v>6489257</v>
      </c>
      <c r="U344" s="19" t="s">
        <v>5492</v>
      </c>
      <c r="V344" s="19">
        <v>977</v>
      </c>
      <c r="W344" s="115">
        <v>2335.6821479999999</v>
      </c>
      <c r="X344" s="115">
        <f t="shared" si="87"/>
        <v>2281961.458596</v>
      </c>
      <c r="Y344" s="261" t="s">
        <v>5103</v>
      </c>
      <c r="AI344" s="20">
        <v>53</v>
      </c>
      <c r="AJ344" s="20" t="s">
        <v>4852</v>
      </c>
      <c r="AK344" s="115">
        <v>-2668880</v>
      </c>
      <c r="AL344" s="20">
        <v>0</v>
      </c>
      <c r="AM344" s="20">
        <f t="shared" si="94"/>
        <v>700</v>
      </c>
      <c r="AN344" s="20">
        <f t="shared" si="95"/>
        <v>-1868216000</v>
      </c>
      <c r="AO344" s="20" t="s">
        <v>4854</v>
      </c>
    </row>
    <row r="345" spans="8:47">
      <c r="R345" s="97" t="s">
        <v>4942</v>
      </c>
      <c r="S345" s="93">
        <v>618000</v>
      </c>
      <c r="U345" s="19" t="s">
        <v>5499</v>
      </c>
      <c r="V345" s="19">
        <v>4155</v>
      </c>
      <c r="W345" s="115">
        <v>2647</v>
      </c>
      <c r="X345" s="115">
        <f t="shared" si="87"/>
        <v>10998285</v>
      </c>
      <c r="Y345" s="261" t="s">
        <v>5103</v>
      </c>
      <c r="AI345" s="147">
        <v>54</v>
      </c>
      <c r="AJ345" s="147" t="s">
        <v>4852</v>
      </c>
      <c r="AK345" s="186">
        <v>-1528620</v>
      </c>
      <c r="AL345" s="147">
        <v>0</v>
      </c>
      <c r="AM345" s="147">
        <f t="shared" si="94"/>
        <v>700</v>
      </c>
      <c r="AN345" s="147">
        <f t="shared" si="95"/>
        <v>-1070034000</v>
      </c>
      <c r="AO345" s="147" t="s">
        <v>4854</v>
      </c>
    </row>
    <row r="346" spans="8:47">
      <c r="R346" s="97" t="s">
        <v>4946</v>
      </c>
      <c r="S346" s="93">
        <v>20105000</v>
      </c>
      <c r="U346" s="19" t="s">
        <v>5500</v>
      </c>
      <c r="V346" s="19">
        <v>351</v>
      </c>
      <c r="W346" s="115">
        <v>2800.6238229999999</v>
      </c>
      <c r="X346" s="115">
        <f t="shared" si="87"/>
        <v>983018.96187300002</v>
      </c>
      <c r="Y346" s="261" t="s">
        <v>5103</v>
      </c>
      <c r="Z346" t="s">
        <v>25</v>
      </c>
      <c r="AI346" s="20">
        <v>55</v>
      </c>
      <c r="AJ346" s="20" t="s">
        <v>4852</v>
      </c>
      <c r="AK346" s="115">
        <v>50000000</v>
      </c>
      <c r="AL346" s="20">
        <v>4</v>
      </c>
      <c r="AM346" s="20">
        <f t="shared" si="94"/>
        <v>700</v>
      </c>
      <c r="AN346" s="20">
        <f t="shared" si="95"/>
        <v>35000000000</v>
      </c>
      <c r="AO346" s="20"/>
    </row>
    <row r="347" spans="8:47">
      <c r="R347" s="97" t="s">
        <v>4947</v>
      </c>
      <c r="S347" s="93">
        <v>-21079990</v>
      </c>
      <c r="U347" s="19" t="s">
        <v>5502</v>
      </c>
      <c r="V347" s="19">
        <v>5877</v>
      </c>
      <c r="W347" s="115">
        <v>2901.0160000000001</v>
      </c>
      <c r="X347" s="115">
        <f t="shared" si="87"/>
        <v>17049271.032000002</v>
      </c>
      <c r="Y347" s="261" t="s">
        <v>5103</v>
      </c>
      <c r="Z347" t="s">
        <v>25</v>
      </c>
      <c r="AI347" s="20">
        <v>56</v>
      </c>
      <c r="AJ347" s="20" t="s">
        <v>4858</v>
      </c>
      <c r="AK347" s="115">
        <v>400000</v>
      </c>
      <c r="AL347" s="20">
        <v>4</v>
      </c>
      <c r="AM347" s="20">
        <f t="shared" ref="AM347:AM356" si="96">AL347+AM348</f>
        <v>696</v>
      </c>
      <c r="AN347" s="20">
        <f t="shared" ref="AN347:AN356" si="97">AK347*AM347</f>
        <v>278400000</v>
      </c>
      <c r="AO347" s="20"/>
    </row>
    <row r="348" spans="8:47">
      <c r="R348" s="97" t="s">
        <v>4953</v>
      </c>
      <c r="S348" s="93">
        <v>-5949277</v>
      </c>
      <c r="U348" s="19" t="s">
        <v>5505</v>
      </c>
      <c r="V348" s="19">
        <v>2374</v>
      </c>
      <c r="W348" s="115">
        <v>2877</v>
      </c>
      <c r="X348" s="115">
        <f t="shared" ref="X348:X385" si="98">V348*W348</f>
        <v>6829998</v>
      </c>
      <c r="Y348" s="261" t="s">
        <v>5103</v>
      </c>
      <c r="AI348" s="20">
        <v>57</v>
      </c>
      <c r="AJ348" s="20" t="s">
        <v>4867</v>
      </c>
      <c r="AK348" s="115">
        <v>2000000</v>
      </c>
      <c r="AL348" s="20">
        <v>3</v>
      </c>
      <c r="AM348" s="20">
        <f t="shared" si="96"/>
        <v>692</v>
      </c>
      <c r="AN348" s="20">
        <f t="shared" si="97"/>
        <v>1384000000</v>
      </c>
      <c r="AO348" s="20"/>
    </row>
    <row r="349" spans="8:47">
      <c r="R349" s="97" t="s">
        <v>4959</v>
      </c>
      <c r="S349" s="93">
        <v>-15370656</v>
      </c>
      <c r="U349" s="19" t="s">
        <v>4209</v>
      </c>
      <c r="V349" s="19">
        <v>2532</v>
      </c>
      <c r="W349" s="115">
        <v>2757.7444</v>
      </c>
      <c r="X349" s="115">
        <f t="shared" si="98"/>
        <v>6982608.8207999999</v>
      </c>
      <c r="Y349" s="261" t="s">
        <v>5103</v>
      </c>
      <c r="AI349" s="20">
        <v>58</v>
      </c>
      <c r="AJ349" s="20" t="s">
        <v>4870</v>
      </c>
      <c r="AK349" s="115">
        <v>100000</v>
      </c>
      <c r="AL349" s="20">
        <v>4</v>
      </c>
      <c r="AM349" s="20">
        <f t="shared" si="96"/>
        <v>689</v>
      </c>
      <c r="AN349" s="20">
        <f t="shared" si="97"/>
        <v>68900000</v>
      </c>
      <c r="AO349" s="20" t="s">
        <v>3873</v>
      </c>
    </row>
    <row r="350" spans="8:47">
      <c r="R350" s="97" t="s">
        <v>4959</v>
      </c>
      <c r="S350" s="93">
        <v>4960000</v>
      </c>
      <c r="U350" s="19" t="s">
        <v>4209</v>
      </c>
      <c r="V350" s="19">
        <v>4987</v>
      </c>
      <c r="W350" s="115">
        <v>2757.7444</v>
      </c>
      <c r="X350" s="115">
        <f t="shared" si="98"/>
        <v>13752871.322800001</v>
      </c>
      <c r="Y350" s="261" t="s">
        <v>5520</v>
      </c>
      <c r="Z350" t="s">
        <v>25</v>
      </c>
      <c r="AI350" s="20">
        <v>59</v>
      </c>
      <c r="AJ350" s="20" t="s">
        <v>4877</v>
      </c>
      <c r="AK350" s="115">
        <v>100000</v>
      </c>
      <c r="AL350" s="20">
        <v>7</v>
      </c>
      <c r="AM350" s="20">
        <f t="shared" si="96"/>
        <v>685</v>
      </c>
      <c r="AN350" s="20">
        <f t="shared" si="97"/>
        <v>68500000</v>
      </c>
      <c r="AO350" s="20"/>
    </row>
    <row r="351" spans="8:47">
      <c r="R351" s="97" t="s">
        <v>4966</v>
      </c>
      <c r="S351" s="93">
        <v>10000000</v>
      </c>
      <c r="T351" t="s">
        <v>25</v>
      </c>
      <c r="U351" s="19" t="s">
        <v>4209</v>
      </c>
      <c r="V351" s="19">
        <v>997</v>
      </c>
      <c r="W351" s="115">
        <v>2757.7444</v>
      </c>
      <c r="X351" s="115">
        <f t="shared" si="98"/>
        <v>2749471.1668000002</v>
      </c>
      <c r="Y351" s="261" t="s">
        <v>5521</v>
      </c>
      <c r="AI351" s="20">
        <v>60</v>
      </c>
      <c r="AJ351" s="20" t="s">
        <v>4890</v>
      </c>
      <c r="AK351" s="115">
        <v>50000</v>
      </c>
      <c r="AL351" s="20">
        <v>0</v>
      </c>
      <c r="AM351" s="20">
        <f t="shared" si="96"/>
        <v>678</v>
      </c>
      <c r="AN351" s="20">
        <f t="shared" si="97"/>
        <v>33900000</v>
      </c>
      <c r="AO351" s="20"/>
    </row>
    <row r="352" spans="8:47">
      <c r="R352" s="97" t="s">
        <v>4975</v>
      </c>
      <c r="S352" s="93">
        <v>-40570100</v>
      </c>
      <c r="U352" s="19" t="s">
        <v>5525</v>
      </c>
      <c r="V352" s="19">
        <v>2874</v>
      </c>
      <c r="W352" s="115">
        <v>2613.1284000000001</v>
      </c>
      <c r="X352" s="115">
        <f t="shared" si="98"/>
        <v>7510131.0216000006</v>
      </c>
      <c r="Y352" s="261" t="s">
        <v>5103</v>
      </c>
      <c r="AI352" s="147">
        <v>61</v>
      </c>
      <c r="AJ352" s="147" t="s">
        <v>4890</v>
      </c>
      <c r="AK352" s="186">
        <v>50000</v>
      </c>
      <c r="AL352" s="147">
        <v>3</v>
      </c>
      <c r="AM352" s="147">
        <f t="shared" si="96"/>
        <v>678</v>
      </c>
      <c r="AN352" s="147">
        <f t="shared" si="97"/>
        <v>33900000</v>
      </c>
      <c r="AO352" s="147"/>
    </row>
    <row r="353" spans="18:46">
      <c r="R353" s="97" t="s">
        <v>4976</v>
      </c>
      <c r="S353" s="93">
        <v>1000000</v>
      </c>
      <c r="U353" s="19" t="s">
        <v>5531</v>
      </c>
      <c r="V353" s="19">
        <v>2847</v>
      </c>
      <c r="W353" s="115">
        <v>2556.3841000000002</v>
      </c>
      <c r="X353" s="115">
        <f t="shared" si="98"/>
        <v>7278025.5327000003</v>
      </c>
      <c r="Y353" s="261" t="s">
        <v>5103</v>
      </c>
      <c r="AI353" s="20">
        <v>62</v>
      </c>
      <c r="AJ353" s="20" t="s">
        <v>4893</v>
      </c>
      <c r="AK353" s="115">
        <v>50000</v>
      </c>
      <c r="AL353" s="20">
        <v>0</v>
      </c>
      <c r="AM353" s="20">
        <f t="shared" si="96"/>
        <v>675</v>
      </c>
      <c r="AN353" s="20">
        <f t="shared" si="97"/>
        <v>33750000</v>
      </c>
      <c r="AO353" s="20"/>
    </row>
    <row r="354" spans="18:46">
      <c r="R354" s="97" t="s">
        <v>4983</v>
      </c>
      <c r="S354" s="93">
        <v>400000</v>
      </c>
      <c r="U354" s="19" t="s">
        <v>5531</v>
      </c>
      <c r="V354" s="19">
        <v>1222</v>
      </c>
      <c r="W354" s="115">
        <v>2556.3841000000002</v>
      </c>
      <c r="X354" s="115">
        <f t="shared" si="98"/>
        <v>3123901.3702000002</v>
      </c>
      <c r="Y354" s="261" t="s">
        <v>5532</v>
      </c>
      <c r="AI354" s="192">
        <v>63</v>
      </c>
      <c r="AJ354" s="192" t="s">
        <v>4893</v>
      </c>
      <c r="AK354" s="193">
        <v>50000</v>
      </c>
      <c r="AL354" s="192">
        <v>2</v>
      </c>
      <c r="AM354" s="192">
        <f t="shared" si="96"/>
        <v>675</v>
      </c>
      <c r="AN354" s="192">
        <f t="shared" si="97"/>
        <v>33750000</v>
      </c>
      <c r="AO354" s="192"/>
    </row>
    <row r="355" spans="18:46">
      <c r="R355" s="97" t="s">
        <v>4997</v>
      </c>
      <c r="S355" s="93">
        <v>120000</v>
      </c>
      <c r="U355" s="19" t="s">
        <v>5540</v>
      </c>
      <c r="V355" s="19">
        <v>73</v>
      </c>
      <c r="W355" s="115">
        <v>2672.0459999999998</v>
      </c>
      <c r="X355" s="115">
        <f t="shared" si="98"/>
        <v>195059.35799999998</v>
      </c>
      <c r="Y355" s="261" t="s">
        <v>5103</v>
      </c>
      <c r="AI355" s="20">
        <v>64</v>
      </c>
      <c r="AJ355" s="20" t="s">
        <v>4900</v>
      </c>
      <c r="AK355" s="115">
        <v>25000</v>
      </c>
      <c r="AL355" s="20">
        <v>0</v>
      </c>
      <c r="AM355" s="20">
        <f t="shared" si="96"/>
        <v>673</v>
      </c>
      <c r="AN355" s="20">
        <f t="shared" si="97"/>
        <v>16825000</v>
      </c>
      <c r="AO355" s="20"/>
    </row>
    <row r="356" spans="18:46" ht="30">
      <c r="R356" s="97" t="s">
        <v>4988</v>
      </c>
      <c r="S356" s="93">
        <v>500000</v>
      </c>
      <c r="U356" s="19" t="s">
        <v>5545</v>
      </c>
      <c r="V356" s="19">
        <v>332</v>
      </c>
      <c r="W356" s="115">
        <v>2598.1260000000002</v>
      </c>
      <c r="X356" s="115">
        <f t="shared" si="98"/>
        <v>862577.83200000005</v>
      </c>
      <c r="Y356" s="261" t="s">
        <v>5546</v>
      </c>
      <c r="Z356" t="s">
        <v>25</v>
      </c>
      <c r="AA356" t="s">
        <v>25</v>
      </c>
      <c r="AI356" s="147">
        <v>65</v>
      </c>
      <c r="AJ356" s="147" t="s">
        <v>4900</v>
      </c>
      <c r="AK356" s="186">
        <v>35000</v>
      </c>
      <c r="AL356" s="147">
        <v>7</v>
      </c>
      <c r="AM356" s="147">
        <f t="shared" si="96"/>
        <v>673</v>
      </c>
      <c r="AN356" s="147">
        <f t="shared" si="97"/>
        <v>23555000</v>
      </c>
      <c r="AO356" s="147"/>
    </row>
    <row r="357" spans="18:46">
      <c r="R357" s="97" t="s">
        <v>5013</v>
      </c>
      <c r="S357" s="93">
        <v>744000</v>
      </c>
      <c r="U357" s="19" t="s">
        <v>5547</v>
      </c>
      <c r="V357" s="19">
        <v>346</v>
      </c>
      <c r="W357" s="115">
        <v>2659.8510000000001</v>
      </c>
      <c r="X357" s="115">
        <f t="shared" si="98"/>
        <v>920308.446</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5018</v>
      </c>
      <c r="S358" s="93">
        <v>65000</v>
      </c>
      <c r="U358" s="19" t="s">
        <v>5548</v>
      </c>
      <c r="V358" s="19">
        <v>1722</v>
      </c>
      <c r="W358" s="115">
        <v>2692.1079220000001</v>
      </c>
      <c r="X358" s="115">
        <f t="shared" si="98"/>
        <v>4635809.8416840006</v>
      </c>
      <c r="Y358" s="261" t="s">
        <v>5103</v>
      </c>
      <c r="Z358" t="s">
        <v>25</v>
      </c>
      <c r="AI358" s="20">
        <v>67</v>
      </c>
      <c r="AJ358" s="20" t="s">
        <v>4908</v>
      </c>
      <c r="AK358" s="115">
        <v>6800000</v>
      </c>
      <c r="AL358" s="20">
        <v>1</v>
      </c>
      <c r="AM358" s="20">
        <f t="shared" si="99"/>
        <v>666</v>
      </c>
      <c r="AN358" s="20">
        <f t="shared" si="100"/>
        <v>4528800000</v>
      </c>
      <c r="AO358" s="20"/>
      <c r="AT358" t="s">
        <v>25</v>
      </c>
    </row>
    <row r="359" spans="18:46" ht="21" customHeight="1">
      <c r="R359" s="97" t="s">
        <v>4989</v>
      </c>
      <c r="S359" s="93">
        <v>-14053702</v>
      </c>
      <c r="U359" s="19" t="s">
        <v>5550</v>
      </c>
      <c r="V359" s="19">
        <v>106</v>
      </c>
      <c r="W359" s="115">
        <v>2725.4</v>
      </c>
      <c r="X359" s="115">
        <f t="shared" si="98"/>
        <v>288892.40000000002</v>
      </c>
      <c r="Y359" s="261" t="s">
        <v>452</v>
      </c>
      <c r="Z359" t="s">
        <v>25</v>
      </c>
      <c r="AA359" t="s">
        <v>25</v>
      </c>
      <c r="AI359" s="20">
        <v>68</v>
      </c>
      <c r="AJ359" s="20" t="s">
        <v>4911</v>
      </c>
      <c r="AK359" s="115">
        <v>500000</v>
      </c>
      <c r="AL359" s="20">
        <v>1</v>
      </c>
      <c r="AM359" s="20">
        <f t="shared" si="99"/>
        <v>665</v>
      </c>
      <c r="AN359" s="20">
        <f t="shared" si="100"/>
        <v>332500000</v>
      </c>
      <c r="AO359" s="20"/>
    </row>
    <row r="360" spans="18:46">
      <c r="R360" s="97" t="s">
        <v>5054</v>
      </c>
      <c r="S360" s="93">
        <v>3555678</v>
      </c>
      <c r="U360" s="19" t="s">
        <v>5578</v>
      </c>
      <c r="V360" s="19">
        <v>25901</v>
      </c>
      <c r="W360" s="115">
        <v>2258.9090000000001</v>
      </c>
      <c r="X360" s="115">
        <f t="shared" si="98"/>
        <v>58508002.009000003</v>
      </c>
      <c r="Y360" s="261" t="s">
        <v>5103</v>
      </c>
      <c r="AI360" s="20">
        <v>69</v>
      </c>
      <c r="AJ360" s="20" t="s">
        <v>4915</v>
      </c>
      <c r="AK360" s="115">
        <v>850000</v>
      </c>
      <c r="AL360" s="20">
        <v>5</v>
      </c>
      <c r="AM360" s="20">
        <f t="shared" si="99"/>
        <v>664</v>
      </c>
      <c r="AN360" s="20">
        <f t="shared" si="100"/>
        <v>564400000</v>
      </c>
      <c r="AO360" s="20"/>
    </row>
    <row r="361" spans="18:46">
      <c r="R361" s="97" t="s">
        <v>5058</v>
      </c>
      <c r="S361" s="93">
        <v>3495</v>
      </c>
      <c r="U361" s="19" t="s">
        <v>5580</v>
      </c>
      <c r="V361" s="19">
        <v>951</v>
      </c>
      <c r="W361" s="115">
        <v>2361.2150799999999</v>
      </c>
      <c r="X361" s="115">
        <f t="shared" si="98"/>
        <v>2245515.5410799999</v>
      </c>
      <c r="Y361" s="261" t="s">
        <v>5103</v>
      </c>
      <c r="AI361" s="20">
        <v>70</v>
      </c>
      <c r="AJ361" s="20" t="s">
        <v>4923</v>
      </c>
      <c r="AK361" s="115">
        <v>1130250</v>
      </c>
      <c r="AL361" s="20">
        <v>0</v>
      </c>
      <c r="AM361" s="20">
        <f t="shared" si="99"/>
        <v>659</v>
      </c>
      <c r="AN361" s="20">
        <f t="shared" si="100"/>
        <v>744834750</v>
      </c>
      <c r="AO361" s="20"/>
    </row>
    <row r="362" spans="18:46" ht="18.75" customHeight="1">
      <c r="R362" s="97" t="s">
        <v>5060</v>
      </c>
      <c r="S362" s="93">
        <v>6000000</v>
      </c>
      <c r="U362" s="19" t="s">
        <v>5582</v>
      </c>
      <c r="V362" s="19">
        <v>7622</v>
      </c>
      <c r="W362" s="115">
        <v>2414.6810999999998</v>
      </c>
      <c r="X362" s="115">
        <f t="shared" si="98"/>
        <v>18404699.3442</v>
      </c>
      <c r="Y362" s="261" t="s">
        <v>5103</v>
      </c>
      <c r="AI362" s="240">
        <v>71</v>
      </c>
      <c r="AJ362" s="240" t="s">
        <v>4923</v>
      </c>
      <c r="AK362" s="231">
        <v>30000</v>
      </c>
      <c r="AL362" s="240">
        <v>5</v>
      </c>
      <c r="AM362" s="240">
        <f t="shared" si="99"/>
        <v>659</v>
      </c>
      <c r="AN362" s="240">
        <f t="shared" si="100"/>
        <v>19770000</v>
      </c>
      <c r="AO362" s="240"/>
    </row>
    <row r="363" spans="18:46">
      <c r="R363" s="97" t="s">
        <v>5061</v>
      </c>
      <c r="S363" s="93">
        <v>17220</v>
      </c>
      <c r="U363" s="19" t="s">
        <v>5582</v>
      </c>
      <c r="V363" s="19">
        <v>-282</v>
      </c>
      <c r="W363" s="115">
        <v>2414.6810999999998</v>
      </c>
      <c r="X363" s="115">
        <f t="shared" si="98"/>
        <v>-680940.07019999996</v>
      </c>
      <c r="Y363" s="261" t="s">
        <v>5583</v>
      </c>
      <c r="AI363" s="20">
        <v>72</v>
      </c>
      <c r="AJ363" s="20" t="s">
        <v>4931</v>
      </c>
      <c r="AK363" s="115">
        <v>206000</v>
      </c>
      <c r="AL363" s="20">
        <v>0</v>
      </c>
      <c r="AM363" s="20">
        <f t="shared" si="99"/>
        <v>654</v>
      </c>
      <c r="AN363" s="20">
        <f t="shared" si="100"/>
        <v>134724000</v>
      </c>
      <c r="AO363" s="20"/>
    </row>
    <row r="364" spans="18:46">
      <c r="R364" s="97" t="s">
        <v>5063</v>
      </c>
      <c r="S364" s="93">
        <v>8249</v>
      </c>
      <c r="U364" s="19" t="s">
        <v>5582</v>
      </c>
      <c r="V364" s="19">
        <v>20162</v>
      </c>
      <c r="W364" s="115">
        <v>2414.6810999999998</v>
      </c>
      <c r="X364" s="115">
        <f t="shared" si="98"/>
        <v>48684800.338199995</v>
      </c>
      <c r="Y364" s="261" t="s">
        <v>5584</v>
      </c>
      <c r="AI364" s="147">
        <v>73</v>
      </c>
      <c r="AJ364" s="147" t="s">
        <v>4931</v>
      </c>
      <c r="AK364" s="186">
        <v>206000</v>
      </c>
      <c r="AL364" s="147">
        <v>2</v>
      </c>
      <c r="AM364" s="147">
        <f t="shared" si="99"/>
        <v>654</v>
      </c>
      <c r="AN364" s="147">
        <f t="shared" si="100"/>
        <v>134724000</v>
      </c>
      <c r="AO364" s="147"/>
    </row>
    <row r="365" spans="18:46">
      <c r="R365" s="97" t="s">
        <v>5063</v>
      </c>
      <c r="S365" s="93">
        <v>6937</v>
      </c>
      <c r="U365" s="19" t="s">
        <v>5582</v>
      </c>
      <c r="V365" s="19">
        <v>-20162</v>
      </c>
      <c r="W365" s="115">
        <v>2414.6810999999998</v>
      </c>
      <c r="X365" s="115">
        <f t="shared" si="98"/>
        <v>-48684800.338199995</v>
      </c>
      <c r="Y365" s="261" t="s">
        <v>743</v>
      </c>
      <c r="AI365" s="20">
        <v>74</v>
      </c>
      <c r="AJ365" s="20" t="s">
        <v>4938</v>
      </c>
      <c r="AK365" s="115">
        <v>50000</v>
      </c>
      <c r="AL365" s="20">
        <v>0</v>
      </c>
      <c r="AM365" s="20">
        <f t="shared" si="99"/>
        <v>652</v>
      </c>
      <c r="AN365" s="20">
        <f t="shared" si="100"/>
        <v>32600000</v>
      </c>
      <c r="AO365" s="20"/>
    </row>
    <row r="366" spans="18:46">
      <c r="R366" s="97" t="s">
        <v>5066</v>
      </c>
      <c r="S366" s="93">
        <v>4046552</v>
      </c>
      <c r="U366" s="19" t="s">
        <v>5585</v>
      </c>
      <c r="V366" s="19">
        <v>977</v>
      </c>
      <c r="W366" s="115">
        <v>2317.971947</v>
      </c>
      <c r="X366" s="115">
        <f t="shared" si="98"/>
        <v>2264658.5922190002</v>
      </c>
      <c r="Y366" s="261" t="s">
        <v>5103</v>
      </c>
      <c r="AI366" s="240">
        <v>75</v>
      </c>
      <c r="AJ366" s="240" t="s">
        <v>4938</v>
      </c>
      <c r="AK366" s="231">
        <v>50000</v>
      </c>
      <c r="AL366" s="240">
        <v>2</v>
      </c>
      <c r="AM366" s="240">
        <f t="shared" si="99"/>
        <v>652</v>
      </c>
      <c r="AN366" s="240">
        <f t="shared" si="100"/>
        <v>32600000</v>
      </c>
      <c r="AO366" s="240"/>
    </row>
    <row r="367" spans="18:46">
      <c r="R367" s="97" t="s">
        <v>5073</v>
      </c>
      <c r="S367" s="93">
        <v>-3884943</v>
      </c>
      <c r="T367" t="s">
        <v>25</v>
      </c>
      <c r="U367" s="19" t="s">
        <v>5587</v>
      </c>
      <c r="V367" s="19">
        <v>10280</v>
      </c>
      <c r="W367" s="115">
        <v>2225.429357</v>
      </c>
      <c r="X367" s="115">
        <f t="shared" si="98"/>
        <v>22877413.789960001</v>
      </c>
      <c r="Y367" s="261" t="s">
        <v>5103</v>
      </c>
      <c r="AI367" s="20">
        <v>76</v>
      </c>
      <c r="AJ367" s="20" t="s">
        <v>4942</v>
      </c>
      <c r="AK367" s="115">
        <v>20000000</v>
      </c>
      <c r="AL367" s="20">
        <v>7</v>
      </c>
      <c r="AM367" s="20">
        <f t="shared" si="99"/>
        <v>650</v>
      </c>
      <c r="AN367" s="20">
        <f t="shared" si="100"/>
        <v>13000000000</v>
      </c>
      <c r="AO367" s="20" t="s">
        <v>4943</v>
      </c>
    </row>
    <row r="368" spans="18:46">
      <c r="R368" s="97" t="s">
        <v>5099</v>
      </c>
      <c r="S368" s="93">
        <v>6022</v>
      </c>
      <c r="U368" s="19" t="s">
        <v>5590</v>
      </c>
      <c r="V368" s="19">
        <v>1022</v>
      </c>
      <c r="W368" s="115">
        <v>2311.6824240000001</v>
      </c>
      <c r="X368" s="115">
        <f t="shared" si="98"/>
        <v>2362539.4373280001</v>
      </c>
      <c r="Y368" s="261" t="s">
        <v>5103</v>
      </c>
      <c r="AC368" t="s">
        <v>25</v>
      </c>
      <c r="AI368" s="20">
        <v>77</v>
      </c>
      <c r="AJ368" s="20" t="s">
        <v>4953</v>
      </c>
      <c r="AK368" s="115">
        <v>50000</v>
      </c>
      <c r="AL368" s="20">
        <v>0</v>
      </c>
      <c r="AM368" s="20">
        <f t="shared" si="99"/>
        <v>643</v>
      </c>
      <c r="AN368" s="20">
        <f t="shared" si="100"/>
        <v>32150000</v>
      </c>
      <c r="AO368" s="20"/>
    </row>
    <row r="369" spans="18:46">
      <c r="R369" s="97" t="s">
        <v>5102</v>
      </c>
      <c r="S369" s="93">
        <v>400000</v>
      </c>
      <c r="U369" s="19" t="s">
        <v>5591</v>
      </c>
      <c r="V369" s="19">
        <v>6818</v>
      </c>
      <c r="W369" s="115">
        <v>2352.988656</v>
      </c>
      <c r="X369" s="115">
        <f t="shared" si="98"/>
        <v>16042676.656608</v>
      </c>
      <c r="Y369" s="261" t="s">
        <v>5103</v>
      </c>
      <c r="AI369" s="147">
        <v>78</v>
      </c>
      <c r="AJ369" s="147" t="s">
        <v>4953</v>
      </c>
      <c r="AK369" s="186">
        <v>50000</v>
      </c>
      <c r="AL369" s="147">
        <v>7</v>
      </c>
      <c r="AM369" s="147">
        <f t="shared" si="99"/>
        <v>643</v>
      </c>
      <c r="AN369" s="147">
        <f t="shared" si="100"/>
        <v>32150000</v>
      </c>
      <c r="AO369" s="147"/>
    </row>
    <row r="370" spans="18:46">
      <c r="R370" s="97" t="s">
        <v>5102</v>
      </c>
      <c r="S370" s="93">
        <v>92847</v>
      </c>
      <c r="U370" s="19" t="s">
        <v>5592</v>
      </c>
      <c r="V370" s="19">
        <v>8023</v>
      </c>
      <c r="W370" s="115">
        <v>2293.8167079999998</v>
      </c>
      <c r="X370" s="115">
        <f t="shared" si="98"/>
        <v>18403291.448284</v>
      </c>
      <c r="Y370" s="261" t="s">
        <v>5103</v>
      </c>
      <c r="AI370" s="20">
        <v>79</v>
      </c>
      <c r="AJ370" s="20" t="s">
        <v>4959</v>
      </c>
      <c r="AK370" s="115">
        <v>2480000</v>
      </c>
      <c r="AL370" s="20">
        <v>0</v>
      </c>
      <c r="AM370" s="20">
        <f t="shared" si="99"/>
        <v>636</v>
      </c>
      <c r="AN370" s="20">
        <f t="shared" si="100"/>
        <v>1577280000</v>
      </c>
      <c r="AO370" s="20"/>
    </row>
    <row r="371" spans="18:46">
      <c r="R371" s="97" t="s">
        <v>5106</v>
      </c>
      <c r="S371" s="93">
        <v>-100000</v>
      </c>
      <c r="U371" s="19" t="s">
        <v>5595</v>
      </c>
      <c r="V371" s="19">
        <v>4666</v>
      </c>
      <c r="W371" s="115">
        <v>2263.4906230000001</v>
      </c>
      <c r="X371" s="115">
        <f t="shared" si="98"/>
        <v>10561447.246918</v>
      </c>
      <c r="Y371" s="261" t="s">
        <v>5103</v>
      </c>
      <c r="AI371" s="147">
        <v>80</v>
      </c>
      <c r="AJ371" s="147" t="s">
        <v>4959</v>
      </c>
      <c r="AK371" s="186">
        <v>2480000</v>
      </c>
      <c r="AL371" s="147">
        <v>12</v>
      </c>
      <c r="AM371" s="147">
        <f t="shared" si="99"/>
        <v>636</v>
      </c>
      <c r="AN371" s="147">
        <f t="shared" si="100"/>
        <v>1577280000</v>
      </c>
      <c r="AO371" s="147"/>
    </row>
    <row r="372" spans="18:46">
      <c r="R372" s="97" t="s">
        <v>5111</v>
      </c>
      <c r="S372" s="93">
        <v>10000000</v>
      </c>
      <c r="U372" s="19" t="s">
        <v>5596</v>
      </c>
      <c r="V372" s="19">
        <v>542</v>
      </c>
      <c r="W372" s="115">
        <v>2263.4906230000001</v>
      </c>
      <c r="X372" s="115">
        <f t="shared" si="98"/>
        <v>1226811.9176660001</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5115</v>
      </c>
      <c r="S373" s="93">
        <v>-400000</v>
      </c>
      <c r="U373" s="19" t="s">
        <v>5597</v>
      </c>
      <c r="V373" s="19">
        <v>16629</v>
      </c>
      <c r="W373" s="115">
        <v>2367.7887540000002</v>
      </c>
      <c r="X373" s="115">
        <f t="shared" si="98"/>
        <v>39373959.190266006</v>
      </c>
      <c r="Y373" s="261" t="s">
        <v>5103</v>
      </c>
      <c r="AI373" s="20">
        <v>82</v>
      </c>
      <c r="AJ373" s="20" t="s">
        <v>4976</v>
      </c>
      <c r="AK373" s="115">
        <v>400000</v>
      </c>
      <c r="AL373" s="20">
        <v>3</v>
      </c>
      <c r="AM373" s="20">
        <f t="shared" si="99"/>
        <v>620</v>
      </c>
      <c r="AN373" s="20">
        <f t="shared" si="100"/>
        <v>248000000</v>
      </c>
      <c r="AO373" s="20"/>
    </row>
    <row r="374" spans="18:46">
      <c r="R374" s="97" t="s">
        <v>5117</v>
      </c>
      <c r="S374" s="93">
        <v>5649</v>
      </c>
      <c r="U374" s="19" t="s">
        <v>5602</v>
      </c>
      <c r="V374" s="19">
        <v>11765</v>
      </c>
      <c r="W374" s="115">
        <v>2354.7375320000001</v>
      </c>
      <c r="X374" s="115">
        <f t="shared" si="98"/>
        <v>27703487.063980002</v>
      </c>
      <c r="Y374" s="261" t="s">
        <v>5103</v>
      </c>
      <c r="AI374" s="147">
        <v>83</v>
      </c>
      <c r="AJ374" s="147" t="s">
        <v>4983</v>
      </c>
      <c r="AK374" s="186">
        <v>40000</v>
      </c>
      <c r="AL374" s="147">
        <v>0</v>
      </c>
      <c r="AM374" s="147">
        <f t="shared" si="99"/>
        <v>617</v>
      </c>
      <c r="AN374" s="147">
        <f t="shared" si="100"/>
        <v>24680000</v>
      </c>
      <c r="AO374" s="147"/>
      <c r="AT374" t="s">
        <v>25</v>
      </c>
    </row>
    <row r="375" spans="18:46">
      <c r="R375" s="97" t="s">
        <v>5118</v>
      </c>
      <c r="S375" s="93">
        <v>460000</v>
      </c>
      <c r="U375" s="19" t="s">
        <v>5603</v>
      </c>
      <c r="V375" s="19">
        <v>3672</v>
      </c>
      <c r="W375" s="115">
        <v>2379.873826</v>
      </c>
      <c r="X375" s="115">
        <f t="shared" si="98"/>
        <v>8738896.6890719999</v>
      </c>
      <c r="Y375" s="261" t="s">
        <v>5103</v>
      </c>
      <c r="AA375" t="s">
        <v>25</v>
      </c>
      <c r="AI375" s="20">
        <v>84</v>
      </c>
      <c r="AJ375" s="20" t="s">
        <v>4983</v>
      </c>
      <c r="AK375" s="115">
        <v>40000</v>
      </c>
      <c r="AL375" s="20">
        <v>5</v>
      </c>
      <c r="AM375" s="20">
        <f t="shared" si="99"/>
        <v>617</v>
      </c>
      <c r="AN375" s="20">
        <f t="shared" si="100"/>
        <v>24680000</v>
      </c>
      <c r="AO375" s="20"/>
    </row>
    <row r="376" spans="18:46">
      <c r="R376" s="97" t="s">
        <v>5118</v>
      </c>
      <c r="S376" s="93">
        <v>1300000</v>
      </c>
      <c r="U376" s="19" t="s">
        <v>4182</v>
      </c>
      <c r="V376" s="19">
        <v>140</v>
      </c>
      <c r="W376" s="115">
        <v>2487.154767</v>
      </c>
      <c r="X376" s="115">
        <f t="shared" si="98"/>
        <v>348201.66738</v>
      </c>
      <c r="Y376" s="261" t="s">
        <v>5103</v>
      </c>
      <c r="AI376" s="20">
        <v>85</v>
      </c>
      <c r="AJ376" s="20" t="s">
        <v>4991</v>
      </c>
      <c r="AK376" s="115">
        <v>200000</v>
      </c>
      <c r="AL376" s="20">
        <v>1</v>
      </c>
      <c r="AM376" s="20">
        <f t="shared" si="99"/>
        <v>612</v>
      </c>
      <c r="AN376" s="20">
        <f t="shared" si="100"/>
        <v>122400000</v>
      </c>
      <c r="AO376" s="20"/>
    </row>
    <row r="377" spans="18:46">
      <c r="R377" s="97" t="s">
        <v>975</v>
      </c>
      <c r="S377" s="93">
        <v>7300000</v>
      </c>
      <c r="U377" s="19" t="s">
        <v>5605</v>
      </c>
      <c r="V377" s="19">
        <v>1616</v>
      </c>
      <c r="W377" s="115">
        <v>2573.0760479999999</v>
      </c>
      <c r="X377" s="115">
        <f t="shared" si="98"/>
        <v>4158090.8935679998</v>
      </c>
      <c r="Y377" s="261" t="s">
        <v>5103</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4253</v>
      </c>
      <c r="S378" s="93">
        <v>21203</v>
      </c>
      <c r="U378" s="187" t="s">
        <v>5606</v>
      </c>
      <c r="V378" s="187">
        <v>5682</v>
      </c>
      <c r="W378" s="186">
        <v>2639.970566</v>
      </c>
      <c r="X378" s="186">
        <f t="shared" si="98"/>
        <v>15000312.756012</v>
      </c>
      <c r="Y378" s="260" t="s">
        <v>5828</v>
      </c>
      <c r="AI378" s="20">
        <v>87</v>
      </c>
      <c r="AJ378" s="20" t="s">
        <v>4997</v>
      </c>
      <c r="AK378" s="115">
        <v>500000</v>
      </c>
      <c r="AL378" s="20">
        <v>3</v>
      </c>
      <c r="AM378" s="20">
        <f t="shared" si="101"/>
        <v>609</v>
      </c>
      <c r="AN378" s="20">
        <f t="shared" si="102"/>
        <v>304500000</v>
      </c>
      <c r="AO378" s="20"/>
    </row>
    <row r="379" spans="18:46" ht="30">
      <c r="R379" s="97" t="s">
        <v>5116</v>
      </c>
      <c r="S379" s="93">
        <v>34550</v>
      </c>
      <c r="U379" s="187" t="s">
        <v>5606</v>
      </c>
      <c r="V379" s="187">
        <v>-122</v>
      </c>
      <c r="W379" s="186">
        <v>2639.970566</v>
      </c>
      <c r="X379" s="186">
        <f t="shared" si="98"/>
        <v>-322076.40905199997</v>
      </c>
      <c r="Y379" s="260" t="s">
        <v>5864</v>
      </c>
      <c r="Z379" t="s">
        <v>25</v>
      </c>
      <c r="AI379" s="20">
        <v>88</v>
      </c>
      <c r="AJ379" s="20" t="s">
        <v>4988</v>
      </c>
      <c r="AK379" s="115">
        <v>250000</v>
      </c>
      <c r="AL379" s="20">
        <v>0</v>
      </c>
      <c r="AM379" s="20">
        <f t="shared" si="101"/>
        <v>606</v>
      </c>
      <c r="AN379" s="20">
        <f t="shared" si="102"/>
        <v>151500000</v>
      </c>
      <c r="AO379" s="20"/>
    </row>
    <row r="380" spans="18:46">
      <c r="R380" s="97" t="s">
        <v>5153</v>
      </c>
      <c r="S380" s="93">
        <v>-2134406</v>
      </c>
      <c r="U380" s="19" t="s">
        <v>5606</v>
      </c>
      <c r="V380" s="19">
        <v>2272</v>
      </c>
      <c r="W380" s="115">
        <v>2639.970566</v>
      </c>
      <c r="X380" s="115">
        <f t="shared" si="98"/>
        <v>5998013.1259519998</v>
      </c>
      <c r="Y380" s="261" t="s">
        <v>5615</v>
      </c>
      <c r="AI380" s="240">
        <v>89</v>
      </c>
      <c r="AJ380" s="240" t="s">
        <v>4988</v>
      </c>
      <c r="AK380" s="231">
        <v>245000</v>
      </c>
      <c r="AL380" s="240">
        <v>16</v>
      </c>
      <c r="AM380" s="240">
        <f t="shared" si="101"/>
        <v>606</v>
      </c>
      <c r="AN380" s="240">
        <f t="shared" si="102"/>
        <v>148470000</v>
      </c>
      <c r="AO380" s="240"/>
    </row>
    <row r="381" spans="18:46" ht="30">
      <c r="R381" s="97" t="s">
        <v>5156</v>
      </c>
      <c r="S381" s="93">
        <v>-618906</v>
      </c>
      <c r="U381" s="19" t="s">
        <v>5606</v>
      </c>
      <c r="V381" s="19">
        <v>4434</v>
      </c>
      <c r="W381" s="115">
        <v>2639.970566</v>
      </c>
      <c r="X381" s="115">
        <f t="shared" si="98"/>
        <v>11705629.489644</v>
      </c>
      <c r="Y381" s="261" t="s">
        <v>5616</v>
      </c>
      <c r="AB381" t="s">
        <v>25</v>
      </c>
      <c r="AI381" s="20">
        <v>90</v>
      </c>
      <c r="AJ381" s="20" t="s">
        <v>5022</v>
      </c>
      <c r="AK381" s="115">
        <v>312598</v>
      </c>
      <c r="AL381" s="20">
        <v>0</v>
      </c>
      <c r="AM381" s="20">
        <f t="shared" si="101"/>
        <v>590</v>
      </c>
      <c r="AN381" s="20">
        <f t="shared" si="102"/>
        <v>184432820</v>
      </c>
      <c r="AO381" s="20"/>
      <c r="AQ381" t="s">
        <v>25</v>
      </c>
    </row>
    <row r="382" spans="18:46">
      <c r="R382" s="97" t="s">
        <v>5198</v>
      </c>
      <c r="S382" s="93">
        <v>-54615</v>
      </c>
      <c r="U382" s="19" t="s">
        <v>5606</v>
      </c>
      <c r="V382" s="19">
        <v>2349</v>
      </c>
      <c r="W382" s="115">
        <v>2639.970566</v>
      </c>
      <c r="X382" s="115">
        <f t="shared" si="98"/>
        <v>6201290.859534</v>
      </c>
      <c r="Y382" s="261" t="s">
        <v>5617</v>
      </c>
      <c r="AI382" s="20">
        <v>91</v>
      </c>
      <c r="AJ382" s="20" t="s">
        <v>5022</v>
      </c>
      <c r="AK382" s="115">
        <v>780000</v>
      </c>
      <c r="AL382" s="20">
        <v>0</v>
      </c>
      <c r="AM382" s="20">
        <f t="shared" si="101"/>
        <v>590</v>
      </c>
      <c r="AN382" s="20">
        <f t="shared" si="102"/>
        <v>460200000</v>
      </c>
      <c r="AO382" s="20"/>
    </row>
    <row r="383" spans="18:46" ht="30">
      <c r="R383" s="97" t="s">
        <v>5243</v>
      </c>
      <c r="S383" s="93">
        <v>18000000</v>
      </c>
      <c r="U383" s="19" t="s">
        <v>5606</v>
      </c>
      <c r="V383" s="19">
        <v>-568</v>
      </c>
      <c r="W383" s="115">
        <v>2639.970566</v>
      </c>
      <c r="X383" s="115">
        <f t="shared" si="98"/>
        <v>-1499503.2814879999</v>
      </c>
      <c r="Y383" s="261" t="s">
        <v>5618</v>
      </c>
      <c r="Z383" t="s">
        <v>25</v>
      </c>
      <c r="AI383" s="192">
        <v>92</v>
      </c>
      <c r="AJ383" s="192" t="s">
        <v>5022</v>
      </c>
      <c r="AK383" s="193">
        <v>-300000</v>
      </c>
      <c r="AL383" s="192">
        <v>1</v>
      </c>
      <c r="AM383" s="192">
        <f t="shared" si="101"/>
        <v>590</v>
      </c>
      <c r="AN383" s="192">
        <f t="shared" si="102"/>
        <v>-177000000</v>
      </c>
      <c r="AO383" s="192"/>
    </row>
    <row r="384" spans="18:46" ht="30">
      <c r="R384" s="97" t="s">
        <v>5250</v>
      </c>
      <c r="S384" s="93">
        <v>20000000</v>
      </c>
      <c r="U384" s="19" t="s">
        <v>5606</v>
      </c>
      <c r="V384" s="19">
        <v>568</v>
      </c>
      <c r="W384" s="115">
        <v>2639.970566</v>
      </c>
      <c r="X384" s="115">
        <f t="shared" si="98"/>
        <v>1499503.2814879999</v>
      </c>
      <c r="Y384" s="261" t="s">
        <v>5618</v>
      </c>
      <c r="AI384" s="20">
        <v>93</v>
      </c>
      <c r="AJ384" s="20" t="s">
        <v>4989</v>
      </c>
      <c r="AK384" s="115">
        <v>300000</v>
      </c>
      <c r="AL384" s="20">
        <v>0</v>
      </c>
      <c r="AM384" s="20">
        <f t="shared" si="101"/>
        <v>589</v>
      </c>
      <c r="AN384" s="20">
        <f t="shared" si="102"/>
        <v>176700000</v>
      </c>
      <c r="AO384" s="20"/>
    </row>
    <row r="385" spans="16:46">
      <c r="R385" s="97" t="s">
        <v>5325</v>
      </c>
      <c r="S385" s="93">
        <v>27694196</v>
      </c>
      <c r="U385" s="19" t="s">
        <v>5609</v>
      </c>
      <c r="V385" s="19">
        <v>4589</v>
      </c>
      <c r="W385" s="115">
        <v>2639.970566</v>
      </c>
      <c r="X385" s="115">
        <f t="shared" si="98"/>
        <v>12114824.927374</v>
      </c>
      <c r="Y385" s="261" t="s">
        <v>5619</v>
      </c>
      <c r="Z385" t="s">
        <v>25</v>
      </c>
      <c r="AI385" s="20">
        <v>94</v>
      </c>
      <c r="AJ385" s="20" t="s">
        <v>4989</v>
      </c>
      <c r="AK385" s="115">
        <v>8660000</v>
      </c>
      <c r="AL385" s="20">
        <v>8</v>
      </c>
      <c r="AM385" s="20">
        <f t="shared" si="101"/>
        <v>589</v>
      </c>
      <c r="AN385" s="20">
        <f t="shared" si="102"/>
        <v>5100740000</v>
      </c>
      <c r="AO385" s="20"/>
    </row>
    <row r="386" spans="16:46">
      <c r="R386" s="97" t="s">
        <v>5326</v>
      </c>
      <c r="S386" s="93">
        <v>7211722</v>
      </c>
      <c r="U386" s="19" t="s">
        <v>5609</v>
      </c>
      <c r="V386" s="19">
        <v>41959</v>
      </c>
      <c r="W386" s="115">
        <v>2639.970566</v>
      </c>
      <c r="X386" s="115">
        <f t="shared" ref="X386:X520" si="103">V386*W386</f>
        <v>110770524.97879399</v>
      </c>
      <c r="Y386" s="261" t="s">
        <v>5103</v>
      </c>
      <c r="AI386" s="147">
        <v>95</v>
      </c>
      <c r="AJ386" s="147" t="s">
        <v>5039</v>
      </c>
      <c r="AK386" s="186">
        <v>200000</v>
      </c>
      <c r="AL386" s="147">
        <v>3</v>
      </c>
      <c r="AM386" s="147">
        <f t="shared" si="101"/>
        <v>581</v>
      </c>
      <c r="AN386" s="147">
        <f t="shared" si="102"/>
        <v>116200000</v>
      </c>
      <c r="AO386" s="147"/>
      <c r="AR386" t="s">
        <v>25</v>
      </c>
    </row>
    <row r="387" spans="16:46">
      <c r="R387" s="97" t="s">
        <v>5330</v>
      </c>
      <c r="S387" s="93">
        <v>8481864</v>
      </c>
      <c r="U387" s="19" t="s">
        <v>5621</v>
      </c>
      <c r="V387" s="19">
        <v>2486</v>
      </c>
      <c r="W387" s="115">
        <v>2688.7156100000002</v>
      </c>
      <c r="X387" s="115">
        <f t="shared" si="103"/>
        <v>6684147.0064600008</v>
      </c>
      <c r="Y387" s="261" t="s">
        <v>5103</v>
      </c>
      <c r="AG387" s="94" t="s">
        <v>25</v>
      </c>
      <c r="AI387" s="147">
        <v>96</v>
      </c>
      <c r="AJ387" s="147" t="s">
        <v>5042</v>
      </c>
      <c r="AK387" s="186">
        <v>20000</v>
      </c>
      <c r="AL387" s="147">
        <v>1</v>
      </c>
      <c r="AM387" s="147">
        <f t="shared" si="101"/>
        <v>578</v>
      </c>
      <c r="AN387" s="147">
        <f t="shared" si="102"/>
        <v>11560000</v>
      </c>
      <c r="AO387" s="147"/>
    </row>
    <row r="388" spans="16:46">
      <c r="R388" s="97" t="s">
        <v>5334</v>
      </c>
      <c r="S388" s="93">
        <v>1558697</v>
      </c>
      <c r="U388" s="19" t="s">
        <v>5624</v>
      </c>
      <c r="V388" s="19">
        <v>652</v>
      </c>
      <c r="W388" s="115">
        <v>2801.4344030000002</v>
      </c>
      <c r="X388" s="115">
        <f t="shared" si="103"/>
        <v>1826535.2307560001</v>
      </c>
      <c r="Y388" s="261" t="s">
        <v>5103</v>
      </c>
      <c r="AI388" s="20">
        <v>97</v>
      </c>
      <c r="AJ388" s="20" t="s">
        <v>5052</v>
      </c>
      <c r="AK388" s="115">
        <v>14340000</v>
      </c>
      <c r="AL388" s="20">
        <v>7</v>
      </c>
      <c r="AM388" s="20">
        <f t="shared" si="101"/>
        <v>577</v>
      </c>
      <c r="AN388" s="20">
        <f t="shared" si="102"/>
        <v>8274180000</v>
      </c>
      <c r="AO388" s="20"/>
      <c r="AT388" t="s">
        <v>25</v>
      </c>
    </row>
    <row r="389" spans="16:46">
      <c r="R389" s="97" t="s">
        <v>5335</v>
      </c>
      <c r="S389" s="93">
        <v>9042009</v>
      </c>
      <c r="T389" t="s">
        <v>25</v>
      </c>
      <c r="U389" s="187" t="s">
        <v>5624</v>
      </c>
      <c r="V389" s="187">
        <v>-536</v>
      </c>
      <c r="W389" s="186">
        <v>2801.4344030000002</v>
      </c>
      <c r="X389" s="186">
        <f t="shared" si="103"/>
        <v>-1501568.8400080001</v>
      </c>
      <c r="Y389" s="260" t="s">
        <v>5636</v>
      </c>
      <c r="AI389" s="20">
        <v>98</v>
      </c>
      <c r="AJ389" s="20" t="s">
        <v>5058</v>
      </c>
      <c r="AK389" s="115">
        <v>10000000</v>
      </c>
      <c r="AL389" s="20">
        <v>6</v>
      </c>
      <c r="AM389" s="20">
        <f t="shared" si="101"/>
        <v>570</v>
      </c>
      <c r="AN389" s="20">
        <f t="shared" si="102"/>
        <v>5700000000</v>
      </c>
      <c r="AO389" s="20" t="s">
        <v>4673</v>
      </c>
    </row>
    <row r="390" spans="16:46">
      <c r="P390" t="s">
        <v>25</v>
      </c>
      <c r="R390" s="97" t="s">
        <v>5339</v>
      </c>
      <c r="S390" s="93">
        <v>94969</v>
      </c>
      <c r="U390" s="19" t="s">
        <v>5628</v>
      </c>
      <c r="V390" s="19">
        <v>1351</v>
      </c>
      <c r="W390" s="115">
        <v>2647.94</v>
      </c>
      <c r="X390" s="115">
        <f t="shared" si="103"/>
        <v>3577366.94</v>
      </c>
      <c r="Y390" s="261" t="s">
        <v>5103</v>
      </c>
      <c r="AI390" s="20">
        <v>99</v>
      </c>
      <c r="AJ390" s="20" t="s">
        <v>5063</v>
      </c>
      <c r="AK390" s="115">
        <v>4033949</v>
      </c>
      <c r="AL390" s="20">
        <v>2</v>
      </c>
      <c r="AM390" s="20">
        <f t="shared" si="101"/>
        <v>564</v>
      </c>
      <c r="AN390" s="20">
        <f t="shared" si="102"/>
        <v>2275147236</v>
      </c>
      <c r="AO390" s="20" t="s">
        <v>5065</v>
      </c>
    </row>
    <row r="391" spans="16:46">
      <c r="R391" s="97" t="s">
        <v>5339</v>
      </c>
      <c r="S391" s="93">
        <v>40000000</v>
      </c>
      <c r="U391" s="19" t="s">
        <v>5630</v>
      </c>
      <c r="V391" s="19">
        <v>8402</v>
      </c>
      <c r="W391" s="115">
        <v>2527.8539839999999</v>
      </c>
      <c r="X391" s="115">
        <f t="shared" si="103"/>
        <v>21239029.173567999</v>
      </c>
      <c r="Y391" s="261" t="s">
        <v>5103</v>
      </c>
      <c r="AI391" s="147">
        <v>100</v>
      </c>
      <c r="AJ391" s="147" t="s">
        <v>5069</v>
      </c>
      <c r="AK391" s="186">
        <v>11500000</v>
      </c>
      <c r="AL391" s="147">
        <v>2</v>
      </c>
      <c r="AM391" s="147">
        <f t="shared" si="101"/>
        <v>562</v>
      </c>
      <c r="AN391" s="147">
        <f t="shared" si="102"/>
        <v>6463000000</v>
      </c>
      <c r="AO391" s="147" t="s">
        <v>5071</v>
      </c>
    </row>
    <row r="392" spans="16:46">
      <c r="R392" s="97" t="s">
        <v>5340</v>
      </c>
      <c r="S392" s="93">
        <v>2806274</v>
      </c>
      <c r="U392" s="19" t="s">
        <v>5633</v>
      </c>
      <c r="V392" s="19">
        <v>98141</v>
      </c>
      <c r="W392" s="115">
        <v>2475.593813</v>
      </c>
      <c r="X392" s="115">
        <f t="shared" si="103"/>
        <v>242957252.40163299</v>
      </c>
      <c r="Y392" s="261" t="s">
        <v>5103</v>
      </c>
      <c r="AI392" s="147">
        <v>101</v>
      </c>
      <c r="AJ392" s="147" t="s">
        <v>5073</v>
      </c>
      <c r="AK392" s="186">
        <v>250000</v>
      </c>
      <c r="AL392" s="147">
        <v>3</v>
      </c>
      <c r="AM392" s="147">
        <f t="shared" si="101"/>
        <v>560</v>
      </c>
      <c r="AN392" s="147">
        <f t="shared" si="102"/>
        <v>140000000</v>
      </c>
      <c r="AO392" s="147"/>
    </row>
    <row r="393" spans="16:46">
      <c r="R393" s="97" t="s">
        <v>5348</v>
      </c>
      <c r="S393" s="93">
        <v>1331702</v>
      </c>
      <c r="U393" s="19" t="s">
        <v>5637</v>
      </c>
      <c r="V393" s="19">
        <v>2910</v>
      </c>
      <c r="W393" s="115">
        <v>2528.240988</v>
      </c>
      <c r="X393" s="115">
        <f t="shared" si="103"/>
        <v>7357181.2750800001</v>
      </c>
      <c r="Y393" s="261" t="s">
        <v>5103</v>
      </c>
      <c r="AA393" t="s">
        <v>25</v>
      </c>
      <c r="AI393" s="147">
        <v>102</v>
      </c>
      <c r="AJ393" s="147" t="s">
        <v>5098</v>
      </c>
      <c r="AK393" s="186">
        <v>6000000</v>
      </c>
      <c r="AL393" s="147">
        <v>1</v>
      </c>
      <c r="AM393" s="147">
        <f t="shared" si="101"/>
        <v>557</v>
      </c>
      <c r="AN393" s="147">
        <f t="shared" si="102"/>
        <v>3342000000</v>
      </c>
      <c r="AO393" s="147" t="s">
        <v>5071</v>
      </c>
      <c r="AS393" t="s">
        <v>25</v>
      </c>
    </row>
    <row r="394" spans="16:46">
      <c r="R394" s="97" t="s">
        <v>5382</v>
      </c>
      <c r="S394" s="93">
        <v>851238</v>
      </c>
      <c r="U394" s="19" t="s">
        <v>5639</v>
      </c>
      <c r="V394" s="19">
        <v>5652</v>
      </c>
      <c r="W394" s="115">
        <v>2645.3312000000001</v>
      </c>
      <c r="X394" s="115">
        <f t="shared" si="103"/>
        <v>14951411.942400001</v>
      </c>
      <c r="Y394" s="261" t="s">
        <v>5103</v>
      </c>
      <c r="AI394" s="147">
        <v>103</v>
      </c>
      <c r="AJ394" s="147" t="s">
        <v>5099</v>
      </c>
      <c r="AK394" s="186">
        <v>1500000</v>
      </c>
      <c r="AL394" s="147">
        <v>6</v>
      </c>
      <c r="AM394" s="147">
        <f t="shared" si="101"/>
        <v>556</v>
      </c>
      <c r="AN394" s="147">
        <f t="shared" si="102"/>
        <v>834000000</v>
      </c>
      <c r="AO394" s="147" t="s">
        <v>5071</v>
      </c>
    </row>
    <row r="395" spans="16:46">
      <c r="R395" s="97" t="s">
        <v>5426</v>
      </c>
      <c r="S395" s="93">
        <v>652592</v>
      </c>
      <c r="U395" s="19" t="s">
        <v>5643</v>
      </c>
      <c r="V395" s="19">
        <v>18764</v>
      </c>
      <c r="W395" s="115">
        <v>2554.2639829999998</v>
      </c>
      <c r="X395" s="115">
        <f t="shared" si="103"/>
        <v>47928209.377011999</v>
      </c>
      <c r="Y395" s="261" t="s">
        <v>5103</v>
      </c>
      <c r="AI395" s="20">
        <v>104</v>
      </c>
      <c r="AJ395" s="20" t="s">
        <v>958</v>
      </c>
      <c r="AK395" s="115">
        <v>-3960043</v>
      </c>
      <c r="AL395" s="20">
        <v>2</v>
      </c>
      <c r="AM395" s="20">
        <f t="shared" si="101"/>
        <v>550</v>
      </c>
      <c r="AN395" s="20">
        <f t="shared" si="102"/>
        <v>-2178023650</v>
      </c>
      <c r="AO395" s="20"/>
    </row>
    <row r="396" spans="16:46">
      <c r="R396" s="97" t="s">
        <v>5427</v>
      </c>
      <c r="S396" s="93">
        <v>554139</v>
      </c>
      <c r="U396" s="19" t="s">
        <v>5645</v>
      </c>
      <c r="V396" s="19">
        <v>930</v>
      </c>
      <c r="W396" s="115">
        <v>2453.3287089999999</v>
      </c>
      <c r="X396" s="115">
        <f t="shared" si="103"/>
        <v>2281595.69937</v>
      </c>
      <c r="Y396" s="261" t="s">
        <v>5103</v>
      </c>
      <c r="AB396" t="s">
        <v>25</v>
      </c>
      <c r="AI396" s="20">
        <v>105</v>
      </c>
      <c r="AJ396" s="20" t="s">
        <v>5117</v>
      </c>
      <c r="AK396" s="115">
        <v>230000</v>
      </c>
      <c r="AL396" s="20">
        <v>0</v>
      </c>
      <c r="AM396" s="20">
        <f t="shared" si="101"/>
        <v>548</v>
      </c>
      <c r="AN396" s="20">
        <f t="shared" si="102"/>
        <v>126040000</v>
      </c>
      <c r="AO396" s="20"/>
    </row>
    <row r="397" spans="16:46">
      <c r="R397" s="97" t="s">
        <v>5428</v>
      </c>
      <c r="S397" s="93">
        <v>70373089</v>
      </c>
      <c r="U397" s="19" t="s">
        <v>5647</v>
      </c>
      <c r="V397" s="19">
        <v>1167</v>
      </c>
      <c r="W397" s="115">
        <v>2540.6307069999998</v>
      </c>
      <c r="X397" s="115">
        <f t="shared" si="103"/>
        <v>2964916.035069</v>
      </c>
      <c r="Y397" s="261" t="s">
        <v>5103</v>
      </c>
      <c r="AI397" s="147">
        <v>106</v>
      </c>
      <c r="AJ397" s="147" t="s">
        <v>5117</v>
      </c>
      <c r="AK397" s="186">
        <v>230000</v>
      </c>
      <c r="AL397" s="147">
        <v>1</v>
      </c>
      <c r="AM397" s="147">
        <f t="shared" si="101"/>
        <v>548</v>
      </c>
      <c r="AN397" s="147">
        <f t="shared" si="102"/>
        <v>126040000</v>
      </c>
      <c r="AO397" s="147"/>
    </row>
    <row r="398" spans="16:46" ht="21" customHeight="1">
      <c r="R398" s="97" t="s">
        <v>5429</v>
      </c>
      <c r="S398" s="93">
        <v>1219655</v>
      </c>
      <c r="U398" s="19" t="s">
        <v>5648</v>
      </c>
      <c r="V398" s="19">
        <v>2538</v>
      </c>
      <c r="W398" s="115">
        <v>2545.5277489999999</v>
      </c>
      <c r="X398" s="115">
        <f t="shared" si="103"/>
        <v>6460549.4269619994</v>
      </c>
      <c r="Y398" s="261" t="s">
        <v>5103</v>
      </c>
      <c r="AA398" t="s">
        <v>25</v>
      </c>
      <c r="AB398" t="s">
        <v>25</v>
      </c>
      <c r="AI398" s="147">
        <v>107</v>
      </c>
      <c r="AJ398" s="147" t="s">
        <v>5118</v>
      </c>
      <c r="AK398" s="186">
        <v>500000</v>
      </c>
      <c r="AL398" s="147">
        <v>1</v>
      </c>
      <c r="AM398" s="147">
        <f t="shared" si="101"/>
        <v>547</v>
      </c>
      <c r="AN398" s="147">
        <f t="shared" si="102"/>
        <v>273500000</v>
      </c>
      <c r="AO398" s="147"/>
    </row>
    <row r="399" spans="16:46">
      <c r="R399" s="97" t="s">
        <v>5430</v>
      </c>
      <c r="S399" s="93">
        <v>15350146</v>
      </c>
      <c r="U399" s="19" t="s">
        <v>5650</v>
      </c>
      <c r="V399" s="19">
        <v>2106</v>
      </c>
      <c r="W399" s="115">
        <v>2474.9857059999999</v>
      </c>
      <c r="X399" s="115">
        <f t="shared" si="103"/>
        <v>5212319.8968359996</v>
      </c>
      <c r="Y399" s="261" t="s">
        <v>5103</v>
      </c>
      <c r="AB399" t="s">
        <v>25</v>
      </c>
      <c r="AI399" s="20">
        <v>108</v>
      </c>
      <c r="AJ399" s="20" t="s">
        <v>5121</v>
      </c>
      <c r="AK399" s="115">
        <v>-880000</v>
      </c>
      <c r="AL399" s="20">
        <v>4</v>
      </c>
      <c r="AM399" s="20">
        <f t="shared" si="101"/>
        <v>546</v>
      </c>
      <c r="AN399" s="20">
        <f t="shared" si="102"/>
        <v>-480480000</v>
      </c>
      <c r="AO399" s="20"/>
    </row>
    <row r="400" spans="16:46" ht="18" customHeight="1">
      <c r="R400" s="97" t="s">
        <v>5434</v>
      </c>
      <c r="S400" s="93">
        <v>121018</v>
      </c>
      <c r="U400" s="19" t="s">
        <v>5653</v>
      </c>
      <c r="V400" s="19">
        <v>1801</v>
      </c>
      <c r="W400" s="115">
        <v>2512.2134809999998</v>
      </c>
      <c r="X400" s="115">
        <f t="shared" si="103"/>
        <v>4524496.4792809999</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5446</v>
      </c>
      <c r="S401" s="93">
        <v>1024993</v>
      </c>
      <c r="U401" s="19" t="s">
        <v>5655</v>
      </c>
      <c r="V401" s="19">
        <v>9184</v>
      </c>
      <c r="W401" s="115">
        <v>2489.76919</v>
      </c>
      <c r="X401" s="115">
        <f t="shared" si="103"/>
        <v>22866040.240959998</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5447</v>
      </c>
      <c r="S402" s="93">
        <v>1948077</v>
      </c>
      <c r="U402" s="19" t="s">
        <v>5657</v>
      </c>
      <c r="V402" s="19">
        <v>6259</v>
      </c>
      <c r="W402" s="115">
        <v>2453.954988</v>
      </c>
      <c r="X402" s="115">
        <f t="shared" si="103"/>
        <v>15359304.269892</v>
      </c>
      <c r="Y402" s="261" t="s">
        <v>5103</v>
      </c>
      <c r="Z402" t="s">
        <v>25</v>
      </c>
      <c r="AI402" s="20">
        <v>111</v>
      </c>
      <c r="AJ402" s="20" t="s">
        <v>5125</v>
      </c>
      <c r="AK402" s="115">
        <v>73000</v>
      </c>
      <c r="AL402" s="20">
        <v>1</v>
      </c>
      <c r="AM402" s="20">
        <f t="shared" si="101"/>
        <v>542</v>
      </c>
      <c r="AN402" s="20">
        <f t="shared" si="102"/>
        <v>39566000</v>
      </c>
      <c r="AO402" s="20"/>
      <c r="AT402" t="s">
        <v>25</v>
      </c>
    </row>
    <row r="403" spans="18:46">
      <c r="R403" s="97" t="s">
        <v>5448</v>
      </c>
      <c r="S403" s="93">
        <v>50000120</v>
      </c>
      <c r="U403" s="19" t="s">
        <v>5659</v>
      </c>
      <c r="V403" s="19">
        <v>1223</v>
      </c>
      <c r="W403" s="115">
        <v>2345.4686710000001</v>
      </c>
      <c r="X403" s="115">
        <f t="shared" si="103"/>
        <v>2868508.1846330003</v>
      </c>
      <c r="Y403" s="261" t="s">
        <v>5103</v>
      </c>
      <c r="AI403" s="20">
        <v>112</v>
      </c>
      <c r="AJ403" s="20" t="s">
        <v>975</v>
      </c>
      <c r="AK403" s="115">
        <v>4300000</v>
      </c>
      <c r="AL403" s="20">
        <v>1</v>
      </c>
      <c r="AM403" s="20">
        <f t="shared" si="101"/>
        <v>541</v>
      </c>
      <c r="AN403" s="20">
        <f t="shared" si="102"/>
        <v>2326300000</v>
      </c>
      <c r="AO403" s="20"/>
    </row>
    <row r="404" spans="18:46">
      <c r="R404" s="97" t="s">
        <v>5471</v>
      </c>
      <c r="S404" s="93">
        <v>20000055</v>
      </c>
      <c r="U404" s="19" t="s">
        <v>5660</v>
      </c>
      <c r="V404" s="19">
        <v>7804</v>
      </c>
      <c r="W404" s="115">
        <v>2236.0831640000001</v>
      </c>
      <c r="X404" s="115">
        <f t="shared" si="103"/>
        <v>17450393.011856001</v>
      </c>
      <c r="Y404" s="261" t="s">
        <v>5103</v>
      </c>
      <c r="AI404" s="20">
        <v>113</v>
      </c>
      <c r="AJ404" s="20" t="s">
        <v>5001</v>
      </c>
      <c r="AK404" s="115">
        <v>1600000</v>
      </c>
      <c r="AL404" s="20">
        <v>0</v>
      </c>
      <c r="AM404" s="20">
        <f t="shared" si="101"/>
        <v>540</v>
      </c>
      <c r="AN404" s="20">
        <f t="shared" si="102"/>
        <v>864000000</v>
      </c>
      <c r="AO404" s="20"/>
    </row>
    <row r="405" spans="18:46">
      <c r="R405" s="97" t="s">
        <v>5472</v>
      </c>
      <c r="S405" s="93">
        <v>5745697</v>
      </c>
      <c r="U405" s="19" t="s">
        <v>5661</v>
      </c>
      <c r="V405" s="19">
        <v>14589</v>
      </c>
      <c r="W405" s="115">
        <v>2151.5486500000002</v>
      </c>
      <c r="X405" s="115">
        <f t="shared" si="103"/>
        <v>31388943.254850004</v>
      </c>
      <c r="Y405" s="261" t="s">
        <v>5103</v>
      </c>
      <c r="AI405" s="20">
        <v>114</v>
      </c>
      <c r="AJ405" s="20" t="s">
        <v>4253</v>
      </c>
      <c r="AK405" s="115">
        <v>-10000000</v>
      </c>
      <c r="AL405" s="20">
        <v>1</v>
      </c>
      <c r="AM405" s="20">
        <f t="shared" si="101"/>
        <v>540</v>
      </c>
      <c r="AN405" s="20">
        <f t="shared" si="102"/>
        <v>-5400000000</v>
      </c>
      <c r="AO405" s="20" t="s">
        <v>5131</v>
      </c>
    </row>
    <row r="406" spans="18:46">
      <c r="R406" s="97" t="s">
        <v>5473</v>
      </c>
      <c r="S406" s="93">
        <v>908158</v>
      </c>
      <c r="U406" s="19" t="s">
        <v>5662</v>
      </c>
      <c r="V406" s="19">
        <v>14741</v>
      </c>
      <c r="W406" s="115">
        <v>2097.0148140000001</v>
      </c>
      <c r="X406" s="115">
        <f t="shared" si="103"/>
        <v>30912095.373174001</v>
      </c>
      <c r="Y406" s="261" t="s">
        <v>5103</v>
      </c>
      <c r="Z406" t="s">
        <v>25</v>
      </c>
      <c r="AI406" s="20">
        <v>115</v>
      </c>
      <c r="AJ406" s="20" t="s">
        <v>5130</v>
      </c>
      <c r="AK406" s="115">
        <v>571000</v>
      </c>
      <c r="AL406" s="20">
        <v>4</v>
      </c>
      <c r="AM406" s="20">
        <f t="shared" si="101"/>
        <v>539</v>
      </c>
      <c r="AN406" s="20">
        <f t="shared" si="102"/>
        <v>307769000</v>
      </c>
      <c r="AO406" s="20"/>
    </row>
    <row r="407" spans="18:46">
      <c r="R407" s="97" t="s">
        <v>5474</v>
      </c>
      <c r="S407" s="93">
        <v>12642697</v>
      </c>
      <c r="U407" s="19" t="s">
        <v>5664</v>
      </c>
      <c r="V407" s="19">
        <v>10237</v>
      </c>
      <c r="W407" s="115">
        <v>1914.9092619999999</v>
      </c>
      <c r="X407" s="115">
        <f t="shared" si="103"/>
        <v>19602926.115093999</v>
      </c>
      <c r="Y407" s="261" t="s">
        <v>5103</v>
      </c>
      <c r="AA407" t="s">
        <v>25</v>
      </c>
      <c r="AI407" s="20">
        <v>116</v>
      </c>
      <c r="AJ407" s="20" t="s">
        <v>5132</v>
      </c>
      <c r="AK407" s="115">
        <v>200000</v>
      </c>
      <c r="AL407" s="20">
        <v>3</v>
      </c>
      <c r="AM407" s="20">
        <f t="shared" ref="AM407:AM418" si="104">AL407+AM408</f>
        <v>535</v>
      </c>
      <c r="AN407" s="20">
        <f t="shared" ref="AN407:AN418" si="105">AK407*AM407</f>
        <v>107000000</v>
      </c>
      <c r="AO407" s="20"/>
    </row>
    <row r="408" spans="18:46">
      <c r="R408" s="97" t="s">
        <v>5475</v>
      </c>
      <c r="S408" s="93">
        <v>12297317.81435</v>
      </c>
      <c r="U408" s="19" t="s">
        <v>5668</v>
      </c>
      <c r="V408" s="19">
        <v>19211</v>
      </c>
      <c r="W408" s="115">
        <v>1793.6906100000001</v>
      </c>
      <c r="X408" s="115">
        <f t="shared" si="103"/>
        <v>34458590.308710001</v>
      </c>
      <c r="Y408" s="261" t="s">
        <v>5103</v>
      </c>
      <c r="AA408" t="s">
        <v>25</v>
      </c>
      <c r="AI408" s="147">
        <v>117</v>
      </c>
      <c r="AJ408" s="147" t="s">
        <v>5138</v>
      </c>
      <c r="AK408" s="186">
        <v>50000</v>
      </c>
      <c r="AL408" s="147">
        <v>7</v>
      </c>
      <c r="AM408" s="147">
        <f t="shared" si="104"/>
        <v>532</v>
      </c>
      <c r="AN408" s="147">
        <f t="shared" si="105"/>
        <v>26600000</v>
      </c>
      <c r="AO408" s="147"/>
    </row>
    <row r="409" spans="18:46">
      <c r="R409" s="97" t="s">
        <v>5476</v>
      </c>
      <c r="S409" s="93">
        <v>8959643.8508579992</v>
      </c>
      <c r="U409" s="19" t="s">
        <v>5670</v>
      </c>
      <c r="V409" s="19">
        <v>11599</v>
      </c>
      <c r="W409" s="115">
        <v>1870.667144</v>
      </c>
      <c r="X409" s="115">
        <f t="shared" si="103"/>
        <v>21697868.203256</v>
      </c>
      <c r="Y409" s="261" t="s">
        <v>5103</v>
      </c>
      <c r="Z409" t="s">
        <v>25</v>
      </c>
      <c r="AI409" s="20">
        <v>118</v>
      </c>
      <c r="AJ409" s="20" t="s">
        <v>5146</v>
      </c>
      <c r="AK409" s="115">
        <v>-500000</v>
      </c>
      <c r="AL409" s="20">
        <v>12</v>
      </c>
      <c r="AM409" s="20">
        <f t="shared" si="104"/>
        <v>525</v>
      </c>
      <c r="AN409" s="20">
        <f t="shared" si="105"/>
        <v>-262500000</v>
      </c>
      <c r="AO409" s="20"/>
    </row>
    <row r="410" spans="18:46">
      <c r="R410" s="97" t="s">
        <v>5491</v>
      </c>
      <c r="S410" s="93">
        <v>15154095.839328</v>
      </c>
      <c r="T410" t="s">
        <v>25</v>
      </c>
      <c r="U410" s="19" t="s">
        <v>5672</v>
      </c>
      <c r="V410" s="19">
        <v>14098</v>
      </c>
      <c r="W410" s="115">
        <v>1797.423695</v>
      </c>
      <c r="X410" s="115">
        <f t="shared" si="103"/>
        <v>25340079.252110001</v>
      </c>
      <c r="Y410" s="261" t="s">
        <v>5103</v>
      </c>
      <c r="AI410" s="147">
        <v>119</v>
      </c>
      <c r="AJ410" s="147" t="s">
        <v>974</v>
      </c>
      <c r="AK410" s="186">
        <v>-50000</v>
      </c>
      <c r="AL410" s="147">
        <v>0</v>
      </c>
      <c r="AM410" s="147">
        <f t="shared" si="104"/>
        <v>513</v>
      </c>
      <c r="AN410" s="147">
        <f t="shared" si="105"/>
        <v>-25650000</v>
      </c>
      <c r="AO410" s="147"/>
    </row>
    <row r="411" spans="18:46">
      <c r="R411" s="97" t="s">
        <v>5492</v>
      </c>
      <c r="S411" s="93">
        <v>50725508.571864001</v>
      </c>
      <c r="U411" s="19" t="s">
        <v>5673</v>
      </c>
      <c r="V411" s="19">
        <v>8497</v>
      </c>
      <c r="W411" s="115">
        <v>1739.5531579999999</v>
      </c>
      <c r="X411" s="115">
        <f t="shared" si="103"/>
        <v>14780983.183526</v>
      </c>
      <c r="Y411" s="261" t="s">
        <v>5103</v>
      </c>
      <c r="AI411" s="20">
        <v>120</v>
      </c>
      <c r="AJ411" s="20" t="s">
        <v>974</v>
      </c>
      <c r="AK411" s="115">
        <v>-50000</v>
      </c>
      <c r="AL411" s="20">
        <v>28</v>
      </c>
      <c r="AM411" s="20">
        <f t="shared" si="104"/>
        <v>513</v>
      </c>
      <c r="AN411" s="20">
        <f t="shared" si="105"/>
        <v>-25650000</v>
      </c>
      <c r="AO411" s="20"/>
    </row>
    <row r="412" spans="18:46" ht="30">
      <c r="R412" s="97" t="s">
        <v>5499</v>
      </c>
      <c r="S412" s="93">
        <v>2281961.458596</v>
      </c>
      <c r="U412" s="279" t="s">
        <v>5676</v>
      </c>
      <c r="V412" s="279">
        <v>163820</v>
      </c>
      <c r="W412" s="88">
        <v>1588.685326</v>
      </c>
      <c r="X412" s="88">
        <f t="shared" si="103"/>
        <v>260258430.10532001</v>
      </c>
      <c r="Y412" s="289" t="s">
        <v>5678</v>
      </c>
      <c r="AI412" s="20">
        <v>121</v>
      </c>
      <c r="AJ412" s="20" t="s">
        <v>5187</v>
      </c>
      <c r="AK412" s="115">
        <v>-3020625</v>
      </c>
      <c r="AL412" s="20">
        <v>18</v>
      </c>
      <c r="AM412" s="20">
        <f t="shared" si="104"/>
        <v>485</v>
      </c>
      <c r="AN412" s="20">
        <f t="shared" si="105"/>
        <v>-1465003125</v>
      </c>
      <c r="AO412" s="20"/>
    </row>
    <row r="413" spans="18:46">
      <c r="R413" s="97" t="s">
        <v>5500</v>
      </c>
      <c r="S413" s="93">
        <v>10998285</v>
      </c>
      <c r="U413" s="19" t="s">
        <v>5676</v>
      </c>
      <c r="V413" s="19">
        <v>11207</v>
      </c>
      <c r="W413" s="115">
        <v>1588.685326</v>
      </c>
      <c r="X413" s="115">
        <f t="shared" si="103"/>
        <v>17804396.448481999</v>
      </c>
      <c r="Y413" s="261" t="s">
        <v>5103</v>
      </c>
      <c r="Z413" t="s">
        <v>25</v>
      </c>
      <c r="AA413" t="s">
        <v>25</v>
      </c>
      <c r="AI413" s="20">
        <v>122</v>
      </c>
      <c r="AJ413" s="20" t="s">
        <v>5198</v>
      </c>
      <c r="AK413" s="115">
        <v>18000000</v>
      </c>
      <c r="AL413" s="20">
        <v>19</v>
      </c>
      <c r="AM413" s="20">
        <f t="shared" si="104"/>
        <v>467</v>
      </c>
      <c r="AN413" s="20">
        <f t="shared" si="105"/>
        <v>8406000000</v>
      </c>
      <c r="AO413" s="20"/>
      <c r="AS413" t="s">
        <v>25</v>
      </c>
    </row>
    <row r="414" spans="18:46">
      <c r="R414" s="97" t="s">
        <v>5502</v>
      </c>
      <c r="S414" s="93">
        <v>983018.96187300002</v>
      </c>
      <c r="T414" t="s">
        <v>25</v>
      </c>
      <c r="U414" s="19" t="s">
        <v>5679</v>
      </c>
      <c r="V414" s="19">
        <v>7198</v>
      </c>
      <c r="W414" s="115">
        <v>1602.9918909999999</v>
      </c>
      <c r="X414" s="115">
        <f t="shared" si="103"/>
        <v>11538335.631417999</v>
      </c>
      <c r="Y414" s="261" t="s">
        <v>5103</v>
      </c>
      <c r="Z414" t="s">
        <v>25</v>
      </c>
      <c r="AI414" s="20">
        <v>123</v>
      </c>
      <c r="AJ414" s="20" t="s">
        <v>5225</v>
      </c>
      <c r="AK414" s="115">
        <v>2000000</v>
      </c>
      <c r="AL414" s="20">
        <v>6</v>
      </c>
      <c r="AM414" s="20">
        <f t="shared" si="104"/>
        <v>448</v>
      </c>
      <c r="AN414" s="20">
        <f t="shared" si="105"/>
        <v>896000000</v>
      </c>
      <c r="AO414" s="20"/>
    </row>
    <row r="415" spans="18:46">
      <c r="R415" s="97" t="s">
        <v>5505</v>
      </c>
      <c r="S415" s="93">
        <v>17049271.032000002</v>
      </c>
      <c r="U415" s="19" t="s">
        <v>5680</v>
      </c>
      <c r="V415" s="19">
        <v>7804</v>
      </c>
      <c r="W415" s="115">
        <v>1592.7111440000001</v>
      </c>
      <c r="X415" s="115">
        <f t="shared" si="103"/>
        <v>12429517.767776001</v>
      </c>
      <c r="Y415" s="261" t="s">
        <v>5103</v>
      </c>
      <c r="AA415" t="s">
        <v>25</v>
      </c>
      <c r="AI415" s="147">
        <v>124</v>
      </c>
      <c r="AJ415" s="147" t="s">
        <v>5234</v>
      </c>
      <c r="AK415" s="186">
        <v>40000000</v>
      </c>
      <c r="AL415" s="147">
        <v>6</v>
      </c>
      <c r="AM415" s="147">
        <f t="shared" si="104"/>
        <v>442</v>
      </c>
      <c r="AN415" s="147">
        <f t="shared" si="105"/>
        <v>17680000000</v>
      </c>
      <c r="AO415" s="147"/>
      <c r="AT415" t="s">
        <v>25</v>
      </c>
    </row>
    <row r="416" spans="18:46">
      <c r="R416" s="97" t="s">
        <v>4209</v>
      </c>
      <c r="S416" s="93">
        <v>6829998</v>
      </c>
      <c r="U416" s="19" t="s">
        <v>5688</v>
      </c>
      <c r="V416" s="19">
        <v>2827</v>
      </c>
      <c r="W416" s="115">
        <v>1779.6874809999999</v>
      </c>
      <c r="X416" s="115">
        <f t="shared" si="103"/>
        <v>5031176.5087869996</v>
      </c>
      <c r="Y416" s="261" t="s">
        <v>5103</v>
      </c>
      <c r="Z416" t="s">
        <v>25</v>
      </c>
      <c r="AI416" s="20">
        <v>125</v>
      </c>
      <c r="AJ416" s="20" t="s">
        <v>5243</v>
      </c>
      <c r="AK416" s="115">
        <v>200000</v>
      </c>
      <c r="AL416" s="20">
        <v>0</v>
      </c>
      <c r="AM416" s="20">
        <f t="shared" si="104"/>
        <v>436</v>
      </c>
      <c r="AN416" s="20">
        <f t="shared" si="105"/>
        <v>87200000</v>
      </c>
      <c r="AO416" s="20"/>
    </row>
    <row r="417" spans="18:46">
      <c r="R417" s="97" t="s">
        <v>5525</v>
      </c>
      <c r="S417" s="93">
        <v>6982608.8207999999</v>
      </c>
      <c r="U417" s="19" t="s">
        <v>5690</v>
      </c>
      <c r="V417" s="19">
        <v>3385</v>
      </c>
      <c r="W417" s="115">
        <v>2015.5993820000001</v>
      </c>
      <c r="X417" s="115">
        <f t="shared" si="103"/>
        <v>6822803.9080700008</v>
      </c>
      <c r="Y417" s="261" t="s">
        <v>5103</v>
      </c>
      <c r="Z417" t="s">
        <v>25</v>
      </c>
      <c r="AA417" t="s">
        <v>25</v>
      </c>
      <c r="AI417" s="147">
        <v>126</v>
      </c>
      <c r="AJ417" s="147" t="s">
        <v>5243</v>
      </c>
      <c r="AK417" s="186">
        <v>200000</v>
      </c>
      <c r="AL417" s="147">
        <v>1</v>
      </c>
      <c r="AM417" s="147">
        <f t="shared" si="104"/>
        <v>436</v>
      </c>
      <c r="AN417" s="147">
        <f t="shared" si="105"/>
        <v>87200000</v>
      </c>
      <c r="AO417" s="147"/>
      <c r="AS417" t="s">
        <v>25</v>
      </c>
      <c r="AT417" t="s">
        <v>25</v>
      </c>
    </row>
    <row r="418" spans="18:46">
      <c r="R418" s="97" t="s">
        <v>5531</v>
      </c>
      <c r="S418" s="93">
        <v>7510131.0216000006</v>
      </c>
      <c r="U418" s="19" t="s">
        <v>5694</v>
      </c>
      <c r="V418" s="19">
        <v>158</v>
      </c>
      <c r="W418" s="115">
        <v>2094.2388179999998</v>
      </c>
      <c r="X418" s="115">
        <f t="shared" si="103"/>
        <v>330889.73324399994</v>
      </c>
      <c r="Y418" s="261" t="s">
        <v>5103</v>
      </c>
      <c r="Z418" t="s">
        <v>25</v>
      </c>
      <c r="AI418" s="20">
        <v>127</v>
      </c>
      <c r="AJ418" s="20" t="s">
        <v>5246</v>
      </c>
      <c r="AK418" s="115">
        <v>50000</v>
      </c>
      <c r="AL418" s="20">
        <v>4</v>
      </c>
      <c r="AM418" s="20">
        <f t="shared" si="104"/>
        <v>435</v>
      </c>
      <c r="AN418" s="20">
        <f t="shared" si="105"/>
        <v>21750000</v>
      </c>
      <c r="AO418" s="20"/>
    </row>
    <row r="419" spans="18:46">
      <c r="R419" s="97" t="s">
        <v>5540</v>
      </c>
      <c r="S419" s="93">
        <v>7278025.5327000003</v>
      </c>
      <c r="U419" s="19" t="s">
        <v>963</v>
      </c>
      <c r="V419" s="19">
        <v>5033</v>
      </c>
      <c r="W419" s="115">
        <v>2229.4976999999999</v>
      </c>
      <c r="X419" s="115">
        <f t="shared" si="103"/>
        <v>11221061.924099999</v>
      </c>
      <c r="Y419" s="261" t="s">
        <v>5699</v>
      </c>
      <c r="AA419" t="s">
        <v>25</v>
      </c>
      <c r="AI419" s="20">
        <v>128</v>
      </c>
      <c r="AJ419" s="20" t="s">
        <v>5248</v>
      </c>
      <c r="AK419" s="115">
        <v>100000</v>
      </c>
      <c r="AL419" s="20">
        <v>9</v>
      </c>
      <c r="AM419" s="20">
        <f t="shared" ref="AM419:AM429" si="106">AL419+AM420</f>
        <v>431</v>
      </c>
      <c r="AN419" s="20">
        <f t="shared" ref="AN419:AN429" si="107">AK419*AM419</f>
        <v>43100000</v>
      </c>
      <c r="AO419" s="20"/>
    </row>
    <row r="420" spans="18:46">
      <c r="R420" s="97" t="s">
        <v>5545</v>
      </c>
      <c r="S420" s="93">
        <v>195059.35799999998</v>
      </c>
      <c r="U420" s="19" t="s">
        <v>5703</v>
      </c>
      <c r="V420" s="19">
        <v>2870</v>
      </c>
      <c r="W420" s="115">
        <v>2303.2467459999998</v>
      </c>
      <c r="X420" s="115">
        <f t="shared" si="103"/>
        <v>6610318.1610199995</v>
      </c>
      <c r="Y420" s="261" t="s">
        <v>5103</v>
      </c>
      <c r="AI420" s="20">
        <v>129</v>
      </c>
      <c r="AJ420" s="20" t="s">
        <v>5264</v>
      </c>
      <c r="AK420" s="115">
        <v>-550000</v>
      </c>
      <c r="AL420" s="20">
        <v>5</v>
      </c>
      <c r="AM420" s="20">
        <f t="shared" si="106"/>
        <v>422</v>
      </c>
      <c r="AN420" s="20">
        <f t="shared" si="107"/>
        <v>-232100000</v>
      </c>
      <c r="AO420" s="20"/>
      <c r="AS420" t="s">
        <v>25</v>
      </c>
    </row>
    <row r="421" spans="18:46">
      <c r="R421" s="97" t="s">
        <v>5547</v>
      </c>
      <c r="S421" s="93">
        <v>862577.83200000005</v>
      </c>
      <c r="U421" s="19" t="s">
        <v>5704</v>
      </c>
      <c r="V421" s="19">
        <v>307</v>
      </c>
      <c r="W421" s="115">
        <v>2315.0266360000001</v>
      </c>
      <c r="X421" s="115">
        <f t="shared" si="103"/>
        <v>710713.17725199996</v>
      </c>
      <c r="Y421" s="261" t="s">
        <v>5103</v>
      </c>
      <c r="AI421" s="20">
        <v>130</v>
      </c>
      <c r="AJ421" s="20" t="s">
        <v>5269</v>
      </c>
      <c r="AK421" s="115">
        <v>-29686490</v>
      </c>
      <c r="AL421" s="20">
        <v>1</v>
      </c>
      <c r="AM421" s="20">
        <f t="shared" si="106"/>
        <v>417</v>
      </c>
      <c r="AN421" s="20">
        <f t="shared" si="107"/>
        <v>-12379266330</v>
      </c>
      <c r="AO421" s="20"/>
    </row>
    <row r="422" spans="18:46" ht="30">
      <c r="R422" s="97" t="s">
        <v>5548</v>
      </c>
      <c r="S422" s="93">
        <v>920308.446</v>
      </c>
      <c r="U422" s="19" t="s">
        <v>5706</v>
      </c>
      <c r="V422" s="19">
        <v>35</v>
      </c>
      <c r="W422" s="115">
        <v>2315</v>
      </c>
      <c r="X422" s="115">
        <f t="shared" si="103"/>
        <v>81025</v>
      </c>
      <c r="Y422" s="261" t="s">
        <v>5708</v>
      </c>
      <c r="Z422" s="112"/>
      <c r="AI422" s="20">
        <v>131</v>
      </c>
      <c r="AJ422" s="20" t="s">
        <v>5277</v>
      </c>
      <c r="AK422" s="115">
        <v>-9000000</v>
      </c>
      <c r="AL422" s="20">
        <v>8</v>
      </c>
      <c r="AM422" s="20">
        <f t="shared" si="106"/>
        <v>416</v>
      </c>
      <c r="AN422" s="20">
        <f t="shared" si="107"/>
        <v>-3744000000</v>
      </c>
      <c r="AO422" s="20"/>
    </row>
    <row r="423" spans="18:46">
      <c r="R423" s="97" t="s">
        <v>5550</v>
      </c>
      <c r="S423" s="93">
        <v>4635809.8416840006</v>
      </c>
      <c r="T423" t="s">
        <v>25</v>
      </c>
      <c r="U423" s="19" t="s">
        <v>5709</v>
      </c>
      <c r="V423" s="19">
        <v>94</v>
      </c>
      <c r="W423" s="115">
        <v>2337.1980119999998</v>
      </c>
      <c r="X423" s="115">
        <f t="shared" si="103"/>
        <v>219696.613128</v>
      </c>
      <c r="Y423" s="261" t="s">
        <v>5103</v>
      </c>
      <c r="Z423" t="s">
        <v>25</v>
      </c>
      <c r="AA423" t="s">
        <v>25</v>
      </c>
      <c r="AI423" s="20">
        <v>132</v>
      </c>
      <c r="AJ423" s="20" t="s">
        <v>5321</v>
      </c>
      <c r="AK423" s="115">
        <v>810000</v>
      </c>
      <c r="AL423" s="20">
        <v>2</v>
      </c>
      <c r="AM423" s="20">
        <f t="shared" si="106"/>
        <v>408</v>
      </c>
      <c r="AN423" s="20">
        <f t="shared" si="107"/>
        <v>330480000</v>
      </c>
      <c r="AO423" s="20"/>
    </row>
    <row r="424" spans="18:46">
      <c r="R424" s="97" t="s">
        <v>5579</v>
      </c>
      <c r="S424" s="93">
        <v>288892.40000000002</v>
      </c>
      <c r="U424" s="19" t="s">
        <v>5710</v>
      </c>
      <c r="V424" s="19">
        <v>2534</v>
      </c>
      <c r="W424" s="115">
        <v>2381.7965300000001</v>
      </c>
      <c r="X424" s="115">
        <f t="shared" si="103"/>
        <v>6035472.4070199998</v>
      </c>
      <c r="Y424" s="261" t="s">
        <v>5103</v>
      </c>
      <c r="AI424" s="20">
        <v>133</v>
      </c>
      <c r="AJ424" s="20" t="s">
        <v>5326</v>
      </c>
      <c r="AK424" s="115">
        <v>-5000000</v>
      </c>
      <c r="AL424" s="20">
        <v>3</v>
      </c>
      <c r="AM424" s="20">
        <f t="shared" si="106"/>
        <v>406</v>
      </c>
      <c r="AN424" s="20">
        <f t="shared" si="107"/>
        <v>-2030000000</v>
      </c>
      <c r="AO424" s="20"/>
    </row>
    <row r="425" spans="18:46">
      <c r="R425" s="97" t="s">
        <v>5580</v>
      </c>
      <c r="S425" s="93">
        <v>58508002.009000003</v>
      </c>
      <c r="U425" s="19" t="s">
        <v>5711</v>
      </c>
      <c r="V425" s="19">
        <v>424</v>
      </c>
      <c r="W425" s="115">
        <v>2321.9017680000002</v>
      </c>
      <c r="X425" s="115">
        <f t="shared" si="103"/>
        <v>984486.34963200008</v>
      </c>
      <c r="Y425" s="261" t="s">
        <v>5103</v>
      </c>
      <c r="AA425" t="s">
        <v>25</v>
      </c>
      <c r="AI425" s="20">
        <v>134</v>
      </c>
      <c r="AJ425" s="20" t="s">
        <v>5330</v>
      </c>
      <c r="AK425" s="115">
        <v>-26000000</v>
      </c>
      <c r="AL425" s="20">
        <v>0</v>
      </c>
      <c r="AM425" s="20">
        <f t="shared" si="106"/>
        <v>403</v>
      </c>
      <c r="AN425" s="20">
        <f t="shared" si="107"/>
        <v>-10478000000</v>
      </c>
      <c r="AO425" s="20"/>
    </row>
    <row r="426" spans="18:46">
      <c r="R426" s="97" t="s">
        <v>5582</v>
      </c>
      <c r="S426" s="93">
        <v>2245515.5410799999</v>
      </c>
      <c r="U426" s="187" t="s">
        <v>5712</v>
      </c>
      <c r="V426" s="187">
        <v>-32</v>
      </c>
      <c r="W426" s="186">
        <v>2221.2123710000001</v>
      </c>
      <c r="X426" s="186">
        <f t="shared" si="103"/>
        <v>-71078.795872000002</v>
      </c>
      <c r="Y426" s="260" t="s">
        <v>5715</v>
      </c>
      <c r="AI426" s="240">
        <v>135</v>
      </c>
      <c r="AJ426" s="240" t="s">
        <v>5330</v>
      </c>
      <c r="AK426" s="231">
        <v>-26000000</v>
      </c>
      <c r="AL426" s="240">
        <v>1</v>
      </c>
      <c r="AM426" s="240">
        <f t="shared" si="106"/>
        <v>403</v>
      </c>
      <c r="AN426" s="240">
        <f t="shared" si="107"/>
        <v>-10478000000</v>
      </c>
      <c r="AO426" s="240"/>
    </row>
    <row r="427" spans="18:46">
      <c r="R427" s="97" t="s">
        <v>5582</v>
      </c>
      <c r="S427" s="93">
        <v>18404699.3442</v>
      </c>
      <c r="U427" s="19" t="s">
        <v>5712</v>
      </c>
      <c r="V427" s="19">
        <v>157</v>
      </c>
      <c r="W427" s="115">
        <v>2221.2123710000001</v>
      </c>
      <c r="X427" s="115">
        <f t="shared" si="103"/>
        <v>348730.34224700002</v>
      </c>
      <c r="Y427" s="261" t="s">
        <v>5716</v>
      </c>
      <c r="AI427" s="20">
        <v>136</v>
      </c>
      <c r="AJ427" s="20" t="s">
        <v>5334</v>
      </c>
      <c r="AK427" s="115">
        <v>-81800000</v>
      </c>
      <c r="AL427" s="20">
        <v>0</v>
      </c>
      <c r="AM427" s="20">
        <f t="shared" si="106"/>
        <v>402</v>
      </c>
      <c r="AN427" s="20">
        <f t="shared" si="107"/>
        <v>-32883600000</v>
      </c>
      <c r="AO427" s="20"/>
    </row>
    <row r="428" spans="18:46">
      <c r="R428" s="97" t="s">
        <v>5585</v>
      </c>
      <c r="S428" s="93">
        <v>48684800</v>
      </c>
      <c r="T428" t="s">
        <v>25</v>
      </c>
      <c r="U428" s="19" t="s">
        <v>5712</v>
      </c>
      <c r="V428" s="19">
        <v>965</v>
      </c>
      <c r="W428" s="115">
        <v>2221.2123710000001</v>
      </c>
      <c r="X428" s="115">
        <f t="shared" si="103"/>
        <v>2143469.938015</v>
      </c>
      <c r="Y428" s="261" t="s">
        <v>5103</v>
      </c>
      <c r="AI428" s="240">
        <v>137</v>
      </c>
      <c r="AJ428" s="240" t="s">
        <v>5334</v>
      </c>
      <c r="AK428" s="231">
        <v>-110000000</v>
      </c>
      <c r="AL428" s="240">
        <v>1</v>
      </c>
      <c r="AM428" s="240">
        <f t="shared" si="106"/>
        <v>402</v>
      </c>
      <c r="AN428" s="240">
        <f t="shared" si="107"/>
        <v>-44220000000</v>
      </c>
      <c r="AO428" s="240"/>
    </row>
    <row r="429" spans="18:46">
      <c r="R429" s="97" t="s">
        <v>5587</v>
      </c>
      <c r="S429" s="93">
        <v>2264658.5922190002</v>
      </c>
      <c r="U429" s="187" t="s">
        <v>5718</v>
      </c>
      <c r="V429" s="187">
        <v>596</v>
      </c>
      <c r="W429" s="186">
        <v>2180.6765719999999</v>
      </c>
      <c r="X429" s="186">
        <f t="shared" si="103"/>
        <v>1299683.236912</v>
      </c>
      <c r="Y429" s="260" t="s">
        <v>1069</v>
      </c>
      <c r="Z429" t="s">
        <v>25</v>
      </c>
      <c r="AI429" s="20">
        <v>138</v>
      </c>
      <c r="AJ429" s="20" t="s">
        <v>5335</v>
      </c>
      <c r="AK429" s="115">
        <v>-34000000</v>
      </c>
      <c r="AL429" s="20">
        <v>0</v>
      </c>
      <c r="AM429" s="20">
        <f t="shared" si="106"/>
        <v>401</v>
      </c>
      <c r="AN429" s="20">
        <f t="shared" si="107"/>
        <v>-13634000000</v>
      </c>
      <c r="AO429" s="20"/>
    </row>
    <row r="430" spans="18:46">
      <c r="R430" s="97" t="s">
        <v>5590</v>
      </c>
      <c r="S430" s="93">
        <v>22877413.789960001</v>
      </c>
      <c r="U430" s="19" t="s">
        <v>5722</v>
      </c>
      <c r="V430" s="19">
        <v>1355</v>
      </c>
      <c r="W430" s="115">
        <v>2277.0926330000002</v>
      </c>
      <c r="X430" s="115">
        <f t="shared" si="103"/>
        <v>3085460.5177150001</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5591</v>
      </c>
      <c r="S431" s="93">
        <v>2362539.4373280001</v>
      </c>
      <c r="U431" s="19" t="s">
        <v>5723</v>
      </c>
      <c r="V431" s="19">
        <v>3742</v>
      </c>
      <c r="W431" s="115">
        <v>2207.7650429999999</v>
      </c>
      <c r="X431" s="115">
        <f t="shared" si="103"/>
        <v>8261456.790906</v>
      </c>
      <c r="Y431" s="261" t="s">
        <v>5103</v>
      </c>
      <c r="Z431" t="s">
        <v>25</v>
      </c>
      <c r="AI431" s="20">
        <v>140</v>
      </c>
      <c r="AJ431" s="20" t="s">
        <v>5348</v>
      </c>
      <c r="AK431" s="115">
        <v>1000000</v>
      </c>
      <c r="AL431" s="20">
        <v>0</v>
      </c>
      <c r="AM431" s="20">
        <f t="shared" si="108"/>
        <v>396</v>
      </c>
      <c r="AN431" s="20">
        <f t="shared" si="109"/>
        <v>396000000</v>
      </c>
      <c r="AO431" s="20"/>
    </row>
    <row r="432" spans="18:46">
      <c r="R432" s="97" t="s">
        <v>5592</v>
      </c>
      <c r="S432" s="93">
        <v>16042676.656608</v>
      </c>
      <c r="U432" s="19" t="s">
        <v>5724</v>
      </c>
      <c r="V432" s="19">
        <v>3216</v>
      </c>
      <c r="W432" s="115">
        <v>2043.648557</v>
      </c>
      <c r="X432" s="115">
        <f t="shared" si="103"/>
        <v>6572373.7593120001</v>
      </c>
      <c r="Y432" s="261" t="s">
        <v>5103</v>
      </c>
      <c r="AI432" s="147">
        <v>141</v>
      </c>
      <c r="AJ432" s="147" t="s">
        <v>5348</v>
      </c>
      <c r="AK432" s="186">
        <v>1000000</v>
      </c>
      <c r="AL432" s="147">
        <v>4</v>
      </c>
      <c r="AM432" s="147">
        <f t="shared" si="108"/>
        <v>396</v>
      </c>
      <c r="AN432" s="147">
        <f t="shared" si="109"/>
        <v>396000000</v>
      </c>
      <c r="AO432" s="147"/>
    </row>
    <row r="433" spans="18:46">
      <c r="R433" s="97" t="s">
        <v>5595</v>
      </c>
      <c r="S433" s="93">
        <v>18403291.448284</v>
      </c>
      <c r="U433" s="187" t="s">
        <v>5726</v>
      </c>
      <c r="V433" s="187">
        <v>42393</v>
      </c>
      <c r="W433" s="186">
        <v>2124.4852740000001</v>
      </c>
      <c r="X433" s="186">
        <f t="shared" si="103"/>
        <v>90063304.22068201</v>
      </c>
      <c r="Y433" s="260" t="s">
        <v>5727</v>
      </c>
      <c r="Z433" t="s">
        <v>25</v>
      </c>
      <c r="AI433" s="20">
        <v>142</v>
      </c>
      <c r="AJ433" s="20" t="s">
        <v>5354</v>
      </c>
      <c r="AK433" s="115">
        <v>400000</v>
      </c>
      <c r="AL433" s="20">
        <v>0</v>
      </c>
      <c r="AM433" s="20">
        <f t="shared" si="108"/>
        <v>392</v>
      </c>
      <c r="AN433" s="20">
        <f t="shared" si="109"/>
        <v>156800000</v>
      </c>
      <c r="AO433" s="20"/>
    </row>
    <row r="434" spans="18:46">
      <c r="R434" s="97" t="s">
        <v>5596</v>
      </c>
      <c r="S434" s="93">
        <v>10561447.246918</v>
      </c>
      <c r="U434" s="19" t="s">
        <v>5728</v>
      </c>
      <c r="V434" s="19">
        <v>1307</v>
      </c>
      <c r="W434" s="115">
        <v>2213.652313</v>
      </c>
      <c r="X434" s="115">
        <f t="shared" si="103"/>
        <v>2893243.5730909999</v>
      </c>
      <c r="Y434" s="261" t="s">
        <v>5103</v>
      </c>
      <c r="AI434" s="147">
        <v>143</v>
      </c>
      <c r="AJ434" s="147" t="s">
        <v>5354</v>
      </c>
      <c r="AK434" s="186">
        <v>400000</v>
      </c>
      <c r="AL434" s="147">
        <v>35</v>
      </c>
      <c r="AM434" s="147">
        <f t="shared" si="108"/>
        <v>392</v>
      </c>
      <c r="AN434" s="147">
        <f t="shared" si="109"/>
        <v>156800000</v>
      </c>
      <c r="AO434" s="147"/>
    </row>
    <row r="435" spans="18:46">
      <c r="R435" s="97" t="s">
        <v>5597</v>
      </c>
      <c r="S435" s="93">
        <v>1226811.9176660001</v>
      </c>
      <c r="U435" s="19" t="s">
        <v>5729</v>
      </c>
      <c r="V435" s="19">
        <v>44079</v>
      </c>
      <c r="W435" s="115">
        <v>2155.0411519999998</v>
      </c>
      <c r="X435" s="115">
        <f t="shared" si="103"/>
        <v>94992058.939007998</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5602</v>
      </c>
      <c r="S436" s="93">
        <v>39373959.190266006</v>
      </c>
      <c r="U436" s="19" t="s">
        <v>5734</v>
      </c>
      <c r="V436" s="19">
        <v>131</v>
      </c>
      <c r="W436" s="115">
        <v>2099.4040150000001</v>
      </c>
      <c r="X436" s="115">
        <f t="shared" si="103"/>
        <v>275021.925965</v>
      </c>
      <c r="Y436" s="261" t="s">
        <v>5103</v>
      </c>
      <c r="Z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5603</v>
      </c>
      <c r="S437" s="93">
        <v>27703487.063980002</v>
      </c>
      <c r="U437" s="19" t="s">
        <v>5739</v>
      </c>
      <c r="V437" s="19">
        <v>162</v>
      </c>
      <c r="W437" s="115">
        <v>2021.3081500000001</v>
      </c>
      <c r="X437" s="115">
        <f t="shared" si="103"/>
        <v>327451.9203</v>
      </c>
      <c r="Y437" s="261" t="s">
        <v>5103</v>
      </c>
      <c r="AA437" t="s">
        <v>25</v>
      </c>
      <c r="AI437" s="147">
        <v>146</v>
      </c>
      <c r="AJ437" s="147" t="s">
        <v>5287</v>
      </c>
      <c r="AK437" s="186">
        <v>-8644090</v>
      </c>
      <c r="AL437" s="147">
        <v>0</v>
      </c>
      <c r="AM437" s="147">
        <f t="shared" si="110"/>
        <v>338</v>
      </c>
      <c r="AN437" s="147">
        <f t="shared" si="111"/>
        <v>-2921702420</v>
      </c>
      <c r="AO437" s="147" t="s">
        <v>4732</v>
      </c>
    </row>
    <row r="438" spans="18:46">
      <c r="R438" s="97" t="s">
        <v>4182</v>
      </c>
      <c r="S438" s="93">
        <v>8738896.6890719999</v>
      </c>
      <c r="U438" s="19" t="s">
        <v>5749</v>
      </c>
      <c r="V438" s="19">
        <v>131</v>
      </c>
      <c r="W438" s="115">
        <v>1985.358328</v>
      </c>
      <c r="X438" s="115">
        <f t="shared" si="103"/>
        <v>260081.94096800001</v>
      </c>
      <c r="Y438" s="261" t="s">
        <v>5103</v>
      </c>
      <c r="AA438" t="s">
        <v>25</v>
      </c>
      <c r="AI438" s="20">
        <v>147</v>
      </c>
      <c r="AJ438" s="20" t="s">
        <v>5287</v>
      </c>
      <c r="AK438" s="115">
        <v>-65461942</v>
      </c>
      <c r="AL438" s="20">
        <v>1</v>
      </c>
      <c r="AM438" s="20">
        <f t="shared" si="110"/>
        <v>338</v>
      </c>
      <c r="AN438" s="20">
        <f t="shared" si="111"/>
        <v>-22126136396</v>
      </c>
      <c r="AO438" s="20" t="s">
        <v>4732</v>
      </c>
    </row>
    <row r="439" spans="18:46">
      <c r="R439" s="97" t="s">
        <v>5605</v>
      </c>
      <c r="S439" s="93">
        <v>348201.66738</v>
      </c>
      <c r="U439" s="19" t="s">
        <v>5758</v>
      </c>
      <c r="V439" s="19">
        <v>1449</v>
      </c>
      <c r="W439" s="115">
        <v>2007.787806</v>
      </c>
      <c r="X439" s="115">
        <f t="shared" si="103"/>
        <v>2909284.5308940001</v>
      </c>
      <c r="Y439" s="261" t="s">
        <v>5103</v>
      </c>
      <c r="AA439" t="s">
        <v>25</v>
      </c>
      <c r="AI439" s="20">
        <v>148</v>
      </c>
      <c r="AJ439" s="20" t="s">
        <v>5411</v>
      </c>
      <c r="AK439" s="115">
        <v>35000000</v>
      </c>
      <c r="AL439" s="20">
        <v>15</v>
      </c>
      <c r="AM439" s="20">
        <f t="shared" si="110"/>
        <v>337</v>
      </c>
      <c r="AN439" s="20">
        <f t="shared" si="111"/>
        <v>11795000000</v>
      </c>
      <c r="AO439" s="20"/>
      <c r="AT439" t="s">
        <v>25</v>
      </c>
    </row>
    <row r="440" spans="18:46">
      <c r="R440" s="97" t="s">
        <v>5609</v>
      </c>
      <c r="S440" s="93">
        <v>4158090.8935679998</v>
      </c>
      <c r="U440" s="19" t="s">
        <v>5759</v>
      </c>
      <c r="V440" s="19">
        <v>19028</v>
      </c>
      <c r="W440" s="115">
        <v>1982.5102529999999</v>
      </c>
      <c r="X440" s="115">
        <f t="shared" si="103"/>
        <v>37723205.094084002</v>
      </c>
      <c r="Y440" s="261" t="s">
        <v>5103</v>
      </c>
      <c r="Z440" t="s">
        <v>25</v>
      </c>
      <c r="AA440" t="s">
        <v>25</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5606</v>
      </c>
      <c r="S441" s="93">
        <v>110770524.97879399</v>
      </c>
      <c r="U441" s="19" t="s">
        <v>5760</v>
      </c>
      <c r="V441" s="19">
        <v>848</v>
      </c>
      <c r="W441" s="115">
        <v>1768.97966</v>
      </c>
      <c r="X441" s="115">
        <f t="shared" si="103"/>
        <v>1500094.75168</v>
      </c>
      <c r="Y441" s="261" t="s">
        <v>5103</v>
      </c>
      <c r="AI441" s="20">
        <v>150</v>
      </c>
      <c r="AJ441" s="20" t="s">
        <v>5430</v>
      </c>
      <c r="AK441" s="115">
        <v>1600000</v>
      </c>
      <c r="AL441" s="20">
        <v>1</v>
      </c>
      <c r="AM441" s="20">
        <f t="shared" si="112"/>
        <v>322</v>
      </c>
      <c r="AN441" s="20">
        <f t="shared" si="113"/>
        <v>515200000</v>
      </c>
      <c r="AO441" s="20"/>
    </row>
    <row r="442" spans="18:46">
      <c r="R442" s="97" t="s">
        <v>5609</v>
      </c>
      <c r="S442" s="93">
        <v>17900000</v>
      </c>
      <c r="U442" s="19" t="s">
        <v>5761</v>
      </c>
      <c r="V442" s="19">
        <v>3824</v>
      </c>
      <c r="W442" s="115">
        <v>1890.8547169999999</v>
      </c>
      <c r="X442" s="115">
        <f t="shared" si="103"/>
        <v>7230628.4378079996</v>
      </c>
      <c r="Y442" s="261" t="s">
        <v>5103</v>
      </c>
      <c r="AI442" s="147">
        <v>151</v>
      </c>
      <c r="AJ442" s="147" t="s">
        <v>5433</v>
      </c>
      <c r="AK442" s="186">
        <v>600000</v>
      </c>
      <c r="AL442" s="147">
        <v>0</v>
      </c>
      <c r="AM442" s="147">
        <f t="shared" si="112"/>
        <v>321</v>
      </c>
      <c r="AN442" s="147">
        <f t="shared" si="113"/>
        <v>192600000</v>
      </c>
      <c r="AO442" s="147" t="s">
        <v>5435</v>
      </c>
    </row>
    <row r="443" spans="18:46">
      <c r="R443" s="97" t="s">
        <v>5621</v>
      </c>
      <c r="S443" s="93">
        <v>12114824.927374</v>
      </c>
      <c r="U443" s="19" t="s">
        <v>5763</v>
      </c>
      <c r="V443" s="19">
        <v>14010</v>
      </c>
      <c r="W443" s="115">
        <v>2124.7244390000001</v>
      </c>
      <c r="X443" s="115">
        <f t="shared" si="103"/>
        <v>29767389.390390001</v>
      </c>
      <c r="Y443" s="261" t="s">
        <v>5103</v>
      </c>
      <c r="AI443" s="20">
        <v>152</v>
      </c>
      <c r="AJ443" s="20" t="s">
        <v>5433</v>
      </c>
      <c r="AK443" s="115">
        <v>600000</v>
      </c>
      <c r="AL443" s="20">
        <v>9</v>
      </c>
      <c r="AM443" s="20">
        <f>AL443+AM444</f>
        <v>321</v>
      </c>
      <c r="AN443" s="20">
        <f t="shared" si="113"/>
        <v>192600000</v>
      </c>
      <c r="AO443" s="20" t="s">
        <v>5435</v>
      </c>
    </row>
    <row r="444" spans="18:46">
      <c r="R444" s="97" t="s">
        <v>5624</v>
      </c>
      <c r="S444" s="93">
        <v>6684147.0064600008</v>
      </c>
      <c r="U444" s="19" t="s">
        <v>5764</v>
      </c>
      <c r="V444" s="19">
        <v>73</v>
      </c>
      <c r="W444" s="115">
        <v>2076.1678900000002</v>
      </c>
      <c r="X444" s="115">
        <f t="shared" si="103"/>
        <v>151560.25597</v>
      </c>
      <c r="Y444" s="261" t="s">
        <v>5103</v>
      </c>
      <c r="AB444" t="s">
        <v>25</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5628</v>
      </c>
      <c r="S445" s="93">
        <v>1826535.2307560001</v>
      </c>
      <c r="U445" s="19" t="s">
        <v>5766</v>
      </c>
      <c r="V445" s="19">
        <v>236</v>
      </c>
      <c r="W445" s="115">
        <v>2039.4867830000001</v>
      </c>
      <c r="X445" s="115">
        <f t="shared" si="103"/>
        <v>481318.88078800001</v>
      </c>
      <c r="Y445" s="261" t="s">
        <v>5103</v>
      </c>
      <c r="AI445" s="20">
        <v>154</v>
      </c>
      <c r="AJ445" s="20" t="s">
        <v>5483</v>
      </c>
      <c r="AK445" s="115">
        <v>-46183500</v>
      </c>
      <c r="AL445" s="20">
        <v>0</v>
      </c>
      <c r="AM445" s="20">
        <f t="shared" si="114"/>
        <v>289</v>
      </c>
      <c r="AN445" s="20">
        <f t="shared" si="115"/>
        <v>-13347031500</v>
      </c>
      <c r="AO445" s="20" t="s">
        <v>4854</v>
      </c>
    </row>
    <row r="446" spans="18:46">
      <c r="R446" s="97" t="s">
        <v>5630</v>
      </c>
      <c r="S446" s="93">
        <v>3577366.94</v>
      </c>
      <c r="U446" s="19" t="s">
        <v>5769</v>
      </c>
      <c r="V446" s="19">
        <v>75</v>
      </c>
      <c r="W446" s="115">
        <v>1950.3675760000001</v>
      </c>
      <c r="X446" s="115">
        <f t="shared" si="103"/>
        <v>146277.56820000001</v>
      </c>
      <c r="Y446" s="261" t="s">
        <v>5103</v>
      </c>
      <c r="AI446" s="147">
        <v>155</v>
      </c>
      <c r="AJ446" s="147" t="s">
        <v>5483</v>
      </c>
      <c r="AK446" s="186">
        <v>-1812800</v>
      </c>
      <c r="AL446" s="147">
        <v>2</v>
      </c>
      <c r="AM446" s="147">
        <f>AL446+AM447</f>
        <v>289</v>
      </c>
      <c r="AN446" s="147">
        <f t="shared" si="115"/>
        <v>-523899200</v>
      </c>
      <c r="AO446" s="147" t="s">
        <v>4854</v>
      </c>
      <c r="AR446" t="s">
        <v>25</v>
      </c>
    </row>
    <row r="447" spans="18:46">
      <c r="R447" s="97" t="s">
        <v>5633</v>
      </c>
      <c r="S447" s="93">
        <v>21239029.173567999</v>
      </c>
      <c r="U447" s="19" t="s">
        <v>5781</v>
      </c>
      <c r="V447" s="19">
        <v>232</v>
      </c>
      <c r="W447" s="115">
        <v>1830.5750069999999</v>
      </c>
      <c r="X447" s="115">
        <f t="shared" si="103"/>
        <v>424693.40162399999</v>
      </c>
      <c r="Y447" s="261" t="s">
        <v>5103</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5638</v>
      </c>
      <c r="S448" s="93">
        <v>242957252.40163299</v>
      </c>
      <c r="U448" s="19" t="s">
        <v>5784</v>
      </c>
      <c r="V448" s="19">
        <v>308</v>
      </c>
      <c r="W448" s="115">
        <v>1812.728578</v>
      </c>
      <c r="X448" s="115">
        <f t="shared" si="103"/>
        <v>558320.40202399995</v>
      </c>
      <c r="Y448" s="261" t="s">
        <v>5103</v>
      </c>
      <c r="Z448" t="s">
        <v>25</v>
      </c>
      <c r="AI448" s="147">
        <v>157</v>
      </c>
      <c r="AJ448" s="147" t="s">
        <v>5487</v>
      </c>
      <c r="AK448" s="186">
        <v>60000</v>
      </c>
      <c r="AL448" s="147">
        <v>5</v>
      </c>
      <c r="AM448" s="147">
        <f t="shared" si="116"/>
        <v>287</v>
      </c>
      <c r="AN448" s="147">
        <f t="shared" si="117"/>
        <v>17220000</v>
      </c>
      <c r="AO448" s="147"/>
    </row>
    <row r="449" spans="18:45">
      <c r="R449" s="97" t="s">
        <v>5639</v>
      </c>
      <c r="S449" s="93">
        <v>7357181.2750800001</v>
      </c>
      <c r="U449" s="19" t="s">
        <v>5786</v>
      </c>
      <c r="V449" s="19">
        <v>106</v>
      </c>
      <c r="W449" s="115">
        <v>1958.8888869</v>
      </c>
      <c r="X449" s="115">
        <f t="shared" si="103"/>
        <v>207642.22201140001</v>
      </c>
      <c r="Y449" s="261" t="s">
        <v>5103</v>
      </c>
      <c r="AI449" s="20">
        <v>158</v>
      </c>
      <c r="AJ449" s="20" t="s">
        <v>5492</v>
      </c>
      <c r="AK449" s="115">
        <v>50000000</v>
      </c>
      <c r="AL449" s="20">
        <v>29</v>
      </c>
      <c r="AM449" s="20">
        <f t="shared" si="116"/>
        <v>282</v>
      </c>
      <c r="AN449" s="20">
        <f t="shared" si="117"/>
        <v>14100000000</v>
      </c>
      <c r="AO449" s="20" t="s">
        <v>5494</v>
      </c>
      <c r="AS449" t="s">
        <v>25</v>
      </c>
    </row>
    <row r="450" spans="18:45">
      <c r="R450" s="97" t="s">
        <v>5643</v>
      </c>
      <c r="S450" s="93">
        <v>14951411.942400001</v>
      </c>
      <c r="U450" s="19" t="s">
        <v>5808</v>
      </c>
      <c r="V450" s="19">
        <v>17050</v>
      </c>
      <c r="W450" s="115">
        <v>1984.311475</v>
      </c>
      <c r="X450" s="115">
        <f t="shared" si="103"/>
        <v>33832510.64875</v>
      </c>
      <c r="Y450" s="261" t="s">
        <v>5810</v>
      </c>
      <c r="Z450" t="s">
        <v>25</v>
      </c>
      <c r="AB450" t="s">
        <v>25</v>
      </c>
      <c r="AI450" s="20">
        <v>159</v>
      </c>
      <c r="AJ450" s="20" t="s">
        <v>5550</v>
      </c>
      <c r="AK450" s="115">
        <v>100000</v>
      </c>
      <c r="AL450" s="20">
        <v>1</v>
      </c>
      <c r="AM450" s="20">
        <f t="shared" si="116"/>
        <v>253</v>
      </c>
      <c r="AN450" s="20">
        <f t="shared" si="117"/>
        <v>25300000</v>
      </c>
      <c r="AO450" s="20"/>
    </row>
    <row r="451" spans="18:45">
      <c r="R451" s="97" t="s">
        <v>5645</v>
      </c>
      <c r="S451" s="93">
        <v>47928209.377011999</v>
      </c>
      <c r="U451" s="19" t="s">
        <v>5808</v>
      </c>
      <c r="V451" s="19">
        <v>17050</v>
      </c>
      <c r="W451" s="115">
        <v>1984.311475</v>
      </c>
      <c r="X451" s="115">
        <f t="shared" si="103"/>
        <v>33832510.64875</v>
      </c>
      <c r="Y451" s="261" t="s">
        <v>5811</v>
      </c>
      <c r="Z451" t="s">
        <v>25</v>
      </c>
      <c r="AG451" s="94" t="s">
        <v>25</v>
      </c>
      <c r="AI451" s="147">
        <v>160</v>
      </c>
      <c r="AJ451" s="147" t="s">
        <v>5539</v>
      </c>
      <c r="AK451" s="186">
        <v>150000</v>
      </c>
      <c r="AL451" s="147">
        <v>0</v>
      </c>
      <c r="AM451" s="147">
        <f t="shared" si="116"/>
        <v>252</v>
      </c>
      <c r="AN451" s="147">
        <f t="shared" si="117"/>
        <v>37800000</v>
      </c>
      <c r="AO451" s="147"/>
    </row>
    <row r="452" spans="18:45">
      <c r="R452" s="97" t="s">
        <v>5647</v>
      </c>
      <c r="S452" s="93">
        <v>2281595.69937</v>
      </c>
      <c r="U452" s="19" t="s">
        <v>5813</v>
      </c>
      <c r="V452" s="19">
        <v>9659</v>
      </c>
      <c r="W452" s="115">
        <v>2073.8685089999999</v>
      </c>
      <c r="X452" s="115">
        <f t="shared" si="103"/>
        <v>20031495.928431001</v>
      </c>
      <c r="Y452" s="261" t="s">
        <v>5814</v>
      </c>
      <c r="Z452" t="s">
        <v>25</v>
      </c>
      <c r="AI452" s="20">
        <v>161</v>
      </c>
      <c r="AJ452" s="20" t="s">
        <v>5539</v>
      </c>
      <c r="AK452" s="115">
        <v>-683050</v>
      </c>
      <c r="AL452" s="20">
        <v>7</v>
      </c>
      <c r="AM452" s="20">
        <f t="shared" si="116"/>
        <v>252</v>
      </c>
      <c r="AN452" s="20">
        <f t="shared" si="117"/>
        <v>-172128600</v>
      </c>
      <c r="AO452" s="20" t="s">
        <v>5553</v>
      </c>
    </row>
    <row r="453" spans="18:45">
      <c r="R453" s="97" t="s">
        <v>5648</v>
      </c>
      <c r="S453" s="93">
        <v>2964916.035069</v>
      </c>
      <c r="U453" s="19" t="s">
        <v>5819</v>
      </c>
      <c r="V453" s="19">
        <v>323</v>
      </c>
      <c r="W453" s="115">
        <v>1975.162028</v>
      </c>
      <c r="X453" s="115">
        <f t="shared" si="103"/>
        <v>637977.33504399995</v>
      </c>
      <c r="Y453" s="261" t="s">
        <v>5103</v>
      </c>
      <c r="AI453" s="147">
        <v>162</v>
      </c>
      <c r="AJ453" s="147" t="s">
        <v>5561</v>
      </c>
      <c r="AK453" s="186">
        <v>200000</v>
      </c>
      <c r="AL453" s="147">
        <v>7</v>
      </c>
      <c r="AM453" s="147">
        <f t="shared" si="116"/>
        <v>245</v>
      </c>
      <c r="AN453" s="147">
        <f t="shared" si="117"/>
        <v>49000000</v>
      </c>
      <c r="AO453" s="147"/>
    </row>
    <row r="454" spans="18:45">
      <c r="R454" s="97" t="s">
        <v>5650</v>
      </c>
      <c r="S454" s="93">
        <v>6460549.4269619994</v>
      </c>
      <c r="U454" s="19" t="s">
        <v>5820</v>
      </c>
      <c r="V454" s="19">
        <v>238</v>
      </c>
      <c r="W454" s="115">
        <v>1960.303598</v>
      </c>
      <c r="X454" s="115">
        <f t="shared" si="103"/>
        <v>466552.25632400002</v>
      </c>
      <c r="Y454" s="261" t="s">
        <v>5103</v>
      </c>
      <c r="AA454" t="s">
        <v>25</v>
      </c>
      <c r="AI454" s="147">
        <v>163</v>
      </c>
      <c r="AJ454" s="147" t="s">
        <v>5566</v>
      </c>
      <c r="AK454" s="186">
        <v>150000</v>
      </c>
      <c r="AL454" s="147">
        <v>5</v>
      </c>
      <c r="AM454" s="147">
        <f t="shared" si="116"/>
        <v>238</v>
      </c>
      <c r="AN454" s="147">
        <f t="shared" si="117"/>
        <v>35700000</v>
      </c>
      <c r="AO454" s="147"/>
    </row>
    <row r="455" spans="18:45">
      <c r="R455" s="97" t="s">
        <v>5653</v>
      </c>
      <c r="S455" s="93">
        <v>5212319.8968359996</v>
      </c>
      <c r="U455" s="19" t="s">
        <v>5821</v>
      </c>
      <c r="V455" s="19">
        <v>75</v>
      </c>
      <c r="W455" s="115">
        <v>1990.893174</v>
      </c>
      <c r="X455" s="115">
        <f t="shared" si="103"/>
        <v>149316.98805000001</v>
      </c>
      <c r="Y455" s="261" t="s">
        <v>5822</v>
      </c>
      <c r="AA455" t="s">
        <v>25</v>
      </c>
      <c r="AI455" s="20">
        <v>164</v>
      </c>
      <c r="AJ455" s="20" t="s">
        <v>5570</v>
      </c>
      <c r="AK455" s="115">
        <v>320000</v>
      </c>
      <c r="AL455" s="20">
        <v>2</v>
      </c>
      <c r="AM455" s="20">
        <f t="shared" si="116"/>
        <v>233</v>
      </c>
      <c r="AN455" s="20">
        <f t="shared" si="117"/>
        <v>74560000</v>
      </c>
      <c r="AO455" s="20"/>
    </row>
    <row r="456" spans="18:45">
      <c r="R456" s="97" t="s">
        <v>5655</v>
      </c>
      <c r="S456" s="93">
        <v>4524496.4792809999</v>
      </c>
      <c r="U456" s="19" t="s">
        <v>5821</v>
      </c>
      <c r="V456" s="19">
        <v>95</v>
      </c>
      <c r="W456" s="115">
        <v>1990.893174</v>
      </c>
      <c r="X456" s="115">
        <f t="shared" si="103"/>
        <v>189134.85153000001</v>
      </c>
      <c r="Y456" s="261" t="s">
        <v>5103</v>
      </c>
      <c r="AA456" t="s">
        <v>25</v>
      </c>
      <c r="AI456" s="20">
        <v>165</v>
      </c>
      <c r="AJ456" s="20" t="s">
        <v>5571</v>
      </c>
      <c r="AK456" s="115">
        <v>200000</v>
      </c>
      <c r="AL456" s="20">
        <v>29</v>
      </c>
      <c r="AM456" s="20">
        <f t="shared" si="116"/>
        <v>231</v>
      </c>
      <c r="AN456" s="20">
        <f t="shared" si="117"/>
        <v>46200000</v>
      </c>
      <c r="AO456" s="20"/>
    </row>
    <row r="457" spans="18:45">
      <c r="R457" s="97" t="s">
        <v>5657</v>
      </c>
      <c r="S457" s="93">
        <v>22866040.240959998</v>
      </c>
      <c r="U457" s="19" t="s">
        <v>5823</v>
      </c>
      <c r="V457" s="19">
        <v>284</v>
      </c>
      <c r="W457" s="115">
        <v>1989.045169</v>
      </c>
      <c r="X457" s="115">
        <f t="shared" si="103"/>
        <v>564888.82799599995</v>
      </c>
      <c r="Y457" s="261" t="s">
        <v>5103</v>
      </c>
      <c r="AA457" t="s">
        <v>25</v>
      </c>
      <c r="AI457" s="20">
        <v>166</v>
      </c>
      <c r="AJ457" s="20" t="s">
        <v>5606</v>
      </c>
      <c r="AK457" s="115">
        <v>4200000</v>
      </c>
      <c r="AL457" s="20">
        <v>0</v>
      </c>
      <c r="AM457" s="20">
        <f t="shared" si="116"/>
        <v>202</v>
      </c>
      <c r="AN457" s="20">
        <f t="shared" si="117"/>
        <v>848400000</v>
      </c>
      <c r="AO457" s="20"/>
    </row>
    <row r="458" spans="18:45" ht="30">
      <c r="R458" s="97" t="s">
        <v>5659</v>
      </c>
      <c r="S458" s="93">
        <v>15359304.269892</v>
      </c>
      <c r="U458" s="187" t="s">
        <v>5826</v>
      </c>
      <c r="V458" s="187">
        <v>11034</v>
      </c>
      <c r="W458" s="186">
        <v>1960.6845390000001</v>
      </c>
      <c r="X458" s="186">
        <f t="shared" si="103"/>
        <v>21634193.203326002</v>
      </c>
      <c r="Y458" s="260" t="s">
        <v>5830</v>
      </c>
      <c r="AA458" t="s">
        <v>25</v>
      </c>
      <c r="AI458" s="147">
        <v>167</v>
      </c>
      <c r="AJ458" s="147" t="s">
        <v>5606</v>
      </c>
      <c r="AK458" s="186">
        <v>3300000</v>
      </c>
      <c r="AL458" s="147">
        <v>11</v>
      </c>
      <c r="AM458" s="147">
        <f t="shared" si="116"/>
        <v>202</v>
      </c>
      <c r="AN458" s="147">
        <f t="shared" si="117"/>
        <v>666600000</v>
      </c>
      <c r="AO458" s="147"/>
    </row>
    <row r="459" spans="18:45" ht="30">
      <c r="R459" s="97" t="s">
        <v>5660</v>
      </c>
      <c r="S459" s="93">
        <v>2868508.1846330003</v>
      </c>
      <c r="U459" s="19" t="s">
        <v>5826</v>
      </c>
      <c r="V459" s="19">
        <v>4469</v>
      </c>
      <c r="W459" s="115">
        <v>1960.6845390000001</v>
      </c>
      <c r="X459" s="115">
        <f t="shared" si="103"/>
        <v>8762299.2047910001</v>
      </c>
      <c r="Y459" s="261" t="s">
        <v>5831</v>
      </c>
      <c r="AA459" t="s">
        <v>25</v>
      </c>
      <c r="AI459" s="147">
        <v>168</v>
      </c>
      <c r="AJ459" s="147" t="s">
        <v>5630</v>
      </c>
      <c r="AK459" s="186">
        <v>-1500000</v>
      </c>
      <c r="AL459" s="147">
        <v>42</v>
      </c>
      <c r="AM459" s="147">
        <f t="shared" si="116"/>
        <v>191</v>
      </c>
      <c r="AN459" s="147">
        <f t="shared" si="117"/>
        <v>-286500000</v>
      </c>
      <c r="AO459" s="147"/>
    </row>
    <row r="460" spans="18:45">
      <c r="R460" s="97" t="s">
        <v>5661</v>
      </c>
      <c r="S460" s="93">
        <v>17450393.011856001</v>
      </c>
      <c r="U460" s="19" t="s">
        <v>5826</v>
      </c>
      <c r="V460" s="19">
        <v>-174834</v>
      </c>
      <c r="W460" s="115">
        <v>1955.271154</v>
      </c>
      <c r="X460" s="115">
        <f t="shared" si="103"/>
        <v>-341847876.93843603</v>
      </c>
      <c r="Y460" s="261" t="s">
        <v>5832</v>
      </c>
      <c r="AI460" s="20">
        <v>169</v>
      </c>
      <c r="AJ460" s="20" t="s">
        <v>5676</v>
      </c>
      <c r="AK460" s="115">
        <v>260000</v>
      </c>
      <c r="AL460" s="20">
        <v>22</v>
      </c>
      <c r="AM460" s="20">
        <f t="shared" si="116"/>
        <v>149</v>
      </c>
      <c r="AN460" s="20">
        <f t="shared" si="117"/>
        <v>38740000</v>
      </c>
      <c r="AO460" s="20"/>
    </row>
    <row r="461" spans="18:45">
      <c r="R461" s="97" t="s">
        <v>5662</v>
      </c>
      <c r="S461" s="93">
        <v>31388943.254850004</v>
      </c>
      <c r="U461" s="19" t="s">
        <v>5826</v>
      </c>
      <c r="V461" s="19">
        <v>-78942</v>
      </c>
      <c r="W461" s="115">
        <v>1955.271154</v>
      </c>
      <c r="X461" s="115">
        <f t="shared" si="103"/>
        <v>-154353015.43906799</v>
      </c>
      <c r="Y461" s="261" t="s">
        <v>5833</v>
      </c>
      <c r="AA461" t="s">
        <v>25</v>
      </c>
      <c r="AI461" s="20">
        <v>170</v>
      </c>
      <c r="AJ461" s="20" t="s">
        <v>5704</v>
      </c>
      <c r="AK461" s="115">
        <v>20000</v>
      </c>
      <c r="AL461" s="20">
        <v>0</v>
      </c>
      <c r="AM461" s="20">
        <f t="shared" si="116"/>
        <v>127</v>
      </c>
      <c r="AN461" s="20">
        <f t="shared" si="117"/>
        <v>2540000</v>
      </c>
      <c r="AO461" s="20"/>
    </row>
    <row r="462" spans="18:45">
      <c r="R462" s="97" t="s">
        <v>5664</v>
      </c>
      <c r="S462" s="93">
        <v>30912095.373174001</v>
      </c>
      <c r="U462" s="187" t="s">
        <v>5826</v>
      </c>
      <c r="V462" s="187">
        <v>-11518</v>
      </c>
      <c r="W462" s="186">
        <v>1955.271154</v>
      </c>
      <c r="X462" s="186">
        <f t="shared" si="103"/>
        <v>-22520813.151772</v>
      </c>
      <c r="Y462" s="260" t="s">
        <v>5834</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5668</v>
      </c>
      <c r="S463" s="93">
        <v>19602926.115093999</v>
      </c>
      <c r="U463" s="19" t="s">
        <v>5845</v>
      </c>
      <c r="V463" s="19">
        <v>8622</v>
      </c>
      <c r="W463" s="115">
        <v>1930.4022150000001</v>
      </c>
      <c r="X463" s="115">
        <f t="shared" si="103"/>
        <v>16643927.89773</v>
      </c>
      <c r="Y463" s="261" t="s">
        <v>743</v>
      </c>
      <c r="AA463" t="s">
        <v>25</v>
      </c>
      <c r="AI463" s="147">
        <v>172</v>
      </c>
      <c r="AJ463" s="147" t="s">
        <v>5712</v>
      </c>
      <c r="AK463" s="186">
        <v>70000</v>
      </c>
      <c r="AL463" s="147">
        <v>0</v>
      </c>
      <c r="AM463" s="147">
        <f t="shared" si="118"/>
        <v>120</v>
      </c>
      <c r="AN463" s="147">
        <f t="shared" si="119"/>
        <v>8400000</v>
      </c>
      <c r="AO463" s="147"/>
    </row>
    <row r="464" spans="18:45">
      <c r="R464" s="97" t="s">
        <v>5670</v>
      </c>
      <c r="S464" s="93">
        <v>34458590.308710001</v>
      </c>
      <c r="U464" s="19" t="s">
        <v>5846</v>
      </c>
      <c r="V464" s="19">
        <v>17384</v>
      </c>
      <c r="W464" s="115">
        <v>1918.745255</v>
      </c>
      <c r="X464" s="115">
        <f t="shared" si="103"/>
        <v>33355467.51292</v>
      </c>
      <c r="Y464" s="261" t="s">
        <v>743</v>
      </c>
      <c r="Z464" t="s">
        <v>25</v>
      </c>
      <c r="AA464" t="s">
        <v>25</v>
      </c>
      <c r="AI464" s="20">
        <v>173</v>
      </c>
      <c r="AJ464" s="20" t="s">
        <v>5712</v>
      </c>
      <c r="AK464" s="115">
        <v>70000</v>
      </c>
      <c r="AL464" s="20">
        <v>1</v>
      </c>
      <c r="AM464" s="20">
        <f t="shared" si="118"/>
        <v>120</v>
      </c>
      <c r="AN464" s="20">
        <f t="shared" si="119"/>
        <v>8400000</v>
      </c>
      <c r="AO464" s="20"/>
      <c r="AS464" t="s">
        <v>25</v>
      </c>
    </row>
    <row r="465" spans="18:46">
      <c r="R465" s="97" t="s">
        <v>5672</v>
      </c>
      <c r="S465" s="93">
        <v>21697868.203256</v>
      </c>
      <c r="U465" s="19" t="s">
        <v>5858</v>
      </c>
      <c r="V465" s="19">
        <v>133</v>
      </c>
      <c r="W465" s="115">
        <v>1954.8389770000001</v>
      </c>
      <c r="X465" s="115">
        <f t="shared" si="103"/>
        <v>259993.58394100002</v>
      </c>
      <c r="Y465" s="261" t="s">
        <v>5103</v>
      </c>
      <c r="AB465" t="s">
        <v>25</v>
      </c>
      <c r="AI465" s="20">
        <v>174</v>
      </c>
      <c r="AJ465" s="20" t="s">
        <v>5718</v>
      </c>
      <c r="AK465" s="115">
        <v>330000</v>
      </c>
      <c r="AL465" s="20">
        <v>0</v>
      </c>
      <c r="AM465" s="20">
        <f t="shared" si="118"/>
        <v>119</v>
      </c>
      <c r="AN465" s="20">
        <f t="shared" si="119"/>
        <v>39270000</v>
      </c>
      <c r="AO465" s="20"/>
      <c r="AS465" t="s">
        <v>25</v>
      </c>
    </row>
    <row r="466" spans="18:46">
      <c r="R466" s="97" t="s">
        <v>5673</v>
      </c>
      <c r="S466" s="93">
        <v>25340079.252110001</v>
      </c>
      <c r="U466" s="19" t="s">
        <v>5859</v>
      </c>
      <c r="V466" s="19">
        <v>140</v>
      </c>
      <c r="W466" s="115">
        <v>1928.2522289999999</v>
      </c>
      <c r="X466" s="115">
        <f t="shared" si="103"/>
        <v>269955.31205999997</v>
      </c>
      <c r="Y466" s="261" t="s">
        <v>5103</v>
      </c>
      <c r="Z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5676</v>
      </c>
      <c r="S467" s="93">
        <v>14780983.183526</v>
      </c>
      <c r="U467" s="19" t="s">
        <v>6391</v>
      </c>
      <c r="V467" s="19">
        <v>15839</v>
      </c>
      <c r="W467" s="115">
        <v>1893.9957079999999</v>
      </c>
      <c r="X467" s="115">
        <f t="shared" si="103"/>
        <v>29998998.019012</v>
      </c>
      <c r="Y467" s="261" t="s">
        <v>6390</v>
      </c>
      <c r="AA467" t="s">
        <v>25</v>
      </c>
      <c r="AB467" t="s">
        <v>25</v>
      </c>
      <c r="AI467" s="147">
        <v>176</v>
      </c>
      <c r="AJ467" s="147" t="s">
        <v>5726</v>
      </c>
      <c r="AK467" s="186">
        <v>90000000</v>
      </c>
      <c r="AL467" s="147">
        <v>16</v>
      </c>
      <c r="AM467" s="147">
        <f t="shared" si="120"/>
        <v>109</v>
      </c>
      <c r="AN467" s="147">
        <f t="shared" si="121"/>
        <v>9810000000</v>
      </c>
      <c r="AO467" s="147"/>
      <c r="AT467" t="s">
        <v>25</v>
      </c>
    </row>
    <row r="468" spans="18:46">
      <c r="R468" s="97" t="s">
        <v>5676</v>
      </c>
      <c r="S468" s="93">
        <v>17804396.448481999</v>
      </c>
      <c r="U468" s="19" t="s">
        <v>6394</v>
      </c>
      <c r="V468" s="19">
        <v>26601</v>
      </c>
      <c r="W468" s="115">
        <v>1880.082026</v>
      </c>
      <c r="X468" s="115">
        <f t="shared" si="103"/>
        <v>50012061.973626003</v>
      </c>
      <c r="Y468" s="261" t="s">
        <v>5342</v>
      </c>
      <c r="AI468" s="147">
        <v>177</v>
      </c>
      <c r="AJ468" s="147" t="s">
        <v>5747</v>
      </c>
      <c r="AK468" s="186">
        <v>-15000000</v>
      </c>
      <c r="AL468" s="147">
        <v>65</v>
      </c>
      <c r="AM468" s="147">
        <f t="shared" si="120"/>
        <v>93</v>
      </c>
      <c r="AN468" s="147">
        <f t="shared" si="121"/>
        <v>-1395000000</v>
      </c>
      <c r="AO468" s="147" t="s">
        <v>5748</v>
      </c>
    </row>
    <row r="469" spans="18:46">
      <c r="R469" s="97" t="s">
        <v>5679</v>
      </c>
      <c r="S469" s="93">
        <v>260260000</v>
      </c>
      <c r="U469" s="187" t="s">
        <v>6394</v>
      </c>
      <c r="V469" s="187">
        <v>10637</v>
      </c>
      <c r="W469" s="186">
        <v>1880.082026</v>
      </c>
      <c r="X469" s="186">
        <f t="shared" si="103"/>
        <v>19998432.510561999</v>
      </c>
      <c r="Y469" s="260" t="s">
        <v>6395</v>
      </c>
      <c r="Z469" t="s">
        <v>25</v>
      </c>
      <c r="AI469" s="147">
        <v>178</v>
      </c>
      <c r="AJ469" s="147" t="s">
        <v>5808</v>
      </c>
      <c r="AK469" s="186">
        <v>33833075</v>
      </c>
      <c r="AL469" s="147">
        <v>0</v>
      </c>
      <c r="AM469" s="147">
        <f t="shared" si="120"/>
        <v>28</v>
      </c>
      <c r="AN469" s="147">
        <f t="shared" si="121"/>
        <v>947326100</v>
      </c>
      <c r="AO469" s="147" t="s">
        <v>5812</v>
      </c>
    </row>
    <row r="470" spans="18:46">
      <c r="R470" s="97" t="s">
        <v>5680</v>
      </c>
      <c r="S470" s="93">
        <v>11538335.631417999</v>
      </c>
      <c r="U470" s="19" t="s">
        <v>6400</v>
      </c>
      <c r="V470" s="19">
        <v>306</v>
      </c>
      <c r="W470" s="115">
        <v>1831.8117119999999</v>
      </c>
      <c r="X470" s="115">
        <f t="shared" si="103"/>
        <v>560534.38387200003</v>
      </c>
      <c r="Y470" s="261" t="s">
        <v>5103</v>
      </c>
      <c r="Z470" t="s">
        <v>25</v>
      </c>
      <c r="AI470" s="20">
        <v>197</v>
      </c>
      <c r="AJ470" s="20" t="s">
        <v>5808</v>
      </c>
      <c r="AK470" s="115">
        <v>20033075</v>
      </c>
      <c r="AL470" s="20">
        <v>28</v>
      </c>
      <c r="AM470" s="20">
        <f t="shared" si="120"/>
        <v>28</v>
      </c>
      <c r="AN470" s="20">
        <f t="shared" si="121"/>
        <v>560926100</v>
      </c>
      <c r="AO470" s="20" t="s">
        <v>5812</v>
      </c>
    </row>
    <row r="471" spans="18:46">
      <c r="R471" s="97" t="s">
        <v>5688</v>
      </c>
      <c r="S471" s="93">
        <v>12429517.767776001</v>
      </c>
      <c r="U471" s="19" t="s">
        <v>6402</v>
      </c>
      <c r="V471" s="19">
        <v>325</v>
      </c>
      <c r="W471" s="115">
        <v>1789.1845169999999</v>
      </c>
      <c r="X471" s="115">
        <f t="shared" si="103"/>
        <v>581484.96802499995</v>
      </c>
      <c r="Y471" s="261" t="s">
        <v>5103</v>
      </c>
      <c r="AA471" t="s">
        <v>25</v>
      </c>
      <c r="AI471" s="147">
        <v>198</v>
      </c>
      <c r="AJ471" s="147" t="s">
        <v>5826</v>
      </c>
      <c r="AK471" s="186">
        <v>-22520813.151772</v>
      </c>
      <c r="AL471" s="147">
        <v>0</v>
      </c>
      <c r="AM471" s="147">
        <f>AL471+AM487</f>
        <v>0</v>
      </c>
      <c r="AN471" s="147">
        <f t="shared" si="121"/>
        <v>0</v>
      </c>
      <c r="AO471" s="147" t="s">
        <v>5834</v>
      </c>
    </row>
    <row r="472" spans="18:46">
      <c r="R472" s="97" t="s">
        <v>5690</v>
      </c>
      <c r="S472" s="93">
        <v>5031176.5087869996</v>
      </c>
      <c r="U472" s="19" t="s">
        <v>6404</v>
      </c>
      <c r="V472" s="19">
        <v>1154</v>
      </c>
      <c r="W472" s="115">
        <v>1851.788857</v>
      </c>
      <c r="X472" s="115">
        <f t="shared" si="103"/>
        <v>2136964.3409779998</v>
      </c>
      <c r="Y472" s="261" t="s">
        <v>5103</v>
      </c>
      <c r="AA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ht="30">
      <c r="R473" s="97" t="s">
        <v>5694</v>
      </c>
      <c r="S473" s="93">
        <v>6822803.9080700008</v>
      </c>
      <c r="U473" s="19" t="s">
        <v>6404</v>
      </c>
      <c r="V473" s="19">
        <v>3240</v>
      </c>
      <c r="W473" s="115">
        <v>1851.788857</v>
      </c>
      <c r="X473" s="115">
        <f t="shared" si="103"/>
        <v>5999795.8966800002</v>
      </c>
      <c r="Y473" s="261" t="s">
        <v>6405</v>
      </c>
      <c r="AB473" t="s">
        <v>25</v>
      </c>
      <c r="AI473" s="20">
        <v>200</v>
      </c>
      <c r="AJ473" s="20" t="s">
        <v>5826</v>
      </c>
      <c r="AK473" s="115">
        <v>50000000</v>
      </c>
      <c r="AL473" s="20">
        <v>1</v>
      </c>
      <c r="AM473" s="20">
        <f t="shared" si="122"/>
        <v>151</v>
      </c>
      <c r="AN473" s="20">
        <f t="shared" si="123"/>
        <v>7550000000</v>
      </c>
      <c r="AO473" s="20" t="s">
        <v>5836</v>
      </c>
    </row>
    <row r="474" spans="18:46">
      <c r="R474" s="97" t="s">
        <v>5703</v>
      </c>
      <c r="S474" s="93">
        <v>330889.73324399994</v>
      </c>
      <c r="U474" s="19" t="s">
        <v>6404</v>
      </c>
      <c r="V474" s="19">
        <v>-3240</v>
      </c>
      <c r="W474" s="115">
        <v>1851.788857</v>
      </c>
      <c r="X474" s="115">
        <f t="shared" si="103"/>
        <v>-5999795.8966800002</v>
      </c>
      <c r="Y474" s="261" t="s">
        <v>6406</v>
      </c>
      <c r="AA474" t="s">
        <v>25</v>
      </c>
      <c r="AI474" s="20">
        <v>201</v>
      </c>
      <c r="AJ474" s="20" t="s">
        <v>5842</v>
      </c>
      <c r="AK474" s="115">
        <v>50000000</v>
      </c>
      <c r="AL474" s="20">
        <v>8</v>
      </c>
      <c r="AM474" s="20">
        <f t="shared" si="122"/>
        <v>150</v>
      </c>
      <c r="AN474" s="20">
        <f t="shared" si="123"/>
        <v>7500000000</v>
      </c>
      <c r="AO474" s="20" t="s">
        <v>5836</v>
      </c>
    </row>
    <row r="475" spans="18:46">
      <c r="R475" s="97" t="s">
        <v>5704</v>
      </c>
      <c r="S475" s="93">
        <v>6610318.1610199995</v>
      </c>
      <c r="U475" s="19" t="s">
        <v>6407</v>
      </c>
      <c r="V475" s="19">
        <v>330</v>
      </c>
      <c r="W475" s="115">
        <v>1799.34311</v>
      </c>
      <c r="X475" s="115">
        <f t="shared" si="103"/>
        <v>593783.22629999998</v>
      </c>
      <c r="Y475" s="261" t="s">
        <v>5103</v>
      </c>
      <c r="AB475" t="s">
        <v>25</v>
      </c>
      <c r="AI475" s="20">
        <v>202</v>
      </c>
      <c r="AJ475" s="20" t="s">
        <v>6389</v>
      </c>
      <c r="AK475" s="115">
        <v>30000000</v>
      </c>
      <c r="AL475" s="20">
        <v>2</v>
      </c>
      <c r="AM475" s="20">
        <f t="shared" si="122"/>
        <v>142</v>
      </c>
      <c r="AN475" s="20">
        <f t="shared" si="123"/>
        <v>4260000000</v>
      </c>
      <c r="AO475" s="20" t="s">
        <v>6390</v>
      </c>
    </row>
    <row r="476" spans="18:46">
      <c r="R476" s="97" t="s">
        <v>5706</v>
      </c>
      <c r="S476" s="93">
        <v>710713.17725199996</v>
      </c>
      <c r="U476" s="19" t="s">
        <v>6411</v>
      </c>
      <c r="V476" s="19">
        <v>266</v>
      </c>
      <c r="W476" s="115">
        <v>1764.9246700000001</v>
      </c>
      <c r="X476" s="115">
        <f t="shared" si="103"/>
        <v>469469.96222000004</v>
      </c>
      <c r="Y476" s="261" t="s">
        <v>5103</v>
      </c>
      <c r="Z476" t="s">
        <v>25</v>
      </c>
      <c r="AI476" s="147">
        <v>203</v>
      </c>
      <c r="AJ476" s="147" t="s">
        <v>6394</v>
      </c>
      <c r="AK476" s="186">
        <v>20000000</v>
      </c>
      <c r="AL476" s="147">
        <v>29</v>
      </c>
      <c r="AM476" s="147">
        <f t="shared" si="122"/>
        <v>140</v>
      </c>
      <c r="AN476" s="147">
        <f t="shared" si="123"/>
        <v>2800000000</v>
      </c>
      <c r="AO476" s="147" t="s">
        <v>6395</v>
      </c>
    </row>
    <row r="477" spans="18:46">
      <c r="R477" s="97" t="s">
        <v>5709</v>
      </c>
      <c r="S477" s="93">
        <v>81025</v>
      </c>
      <c r="U477" s="187" t="s">
        <v>6425</v>
      </c>
      <c r="V477" s="187">
        <v>-10637</v>
      </c>
      <c r="W477" s="186">
        <v>1739.5916549999999</v>
      </c>
      <c r="X477" s="186">
        <f t="shared" si="103"/>
        <v>-18504036.434234999</v>
      </c>
      <c r="Y477" s="260" t="s">
        <v>6428</v>
      </c>
      <c r="Z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5710</v>
      </c>
      <c r="S478" s="93">
        <v>219696.613128</v>
      </c>
      <c r="U478" s="19" t="s">
        <v>6425</v>
      </c>
      <c r="V478" s="19">
        <v>10637</v>
      </c>
      <c r="W478" s="115">
        <v>1739.5916549999999</v>
      </c>
      <c r="X478" s="115">
        <f t="shared" si="103"/>
        <v>18504036.434234999</v>
      </c>
      <c r="Y478" s="261" t="s">
        <v>6429</v>
      </c>
      <c r="AB478" t="s">
        <v>25</v>
      </c>
      <c r="AI478" s="147">
        <v>205</v>
      </c>
      <c r="AJ478" s="147" t="s">
        <v>6425</v>
      </c>
      <c r="AK478" s="186">
        <v>2000000</v>
      </c>
      <c r="AL478" s="147">
        <v>110</v>
      </c>
      <c r="AM478" s="147">
        <f t="shared" si="124"/>
        <v>111</v>
      </c>
      <c r="AN478" s="147">
        <f t="shared" si="125"/>
        <v>222000000</v>
      </c>
      <c r="AO478" s="147" t="s">
        <v>6427</v>
      </c>
      <c r="AT478" t="s">
        <v>25</v>
      </c>
    </row>
    <row r="479" spans="18:46" ht="30">
      <c r="R479" s="97" t="s">
        <v>5711</v>
      </c>
      <c r="S479" s="93">
        <v>6035472.4070199998</v>
      </c>
      <c r="U479" s="19" t="s">
        <v>6453</v>
      </c>
      <c r="V479" s="19">
        <v>39478</v>
      </c>
      <c r="W479" s="115">
        <v>1873.903047</v>
      </c>
      <c r="X479" s="115">
        <f t="shared" si="103"/>
        <v>73977944.489465997</v>
      </c>
      <c r="Y479" s="261" t="s">
        <v>6454</v>
      </c>
      <c r="AI479" s="147">
        <v>206</v>
      </c>
      <c r="AJ479" s="147" t="s">
        <v>6650</v>
      </c>
      <c r="AK479" s="186">
        <v>5082711</v>
      </c>
      <c r="AL479" s="147">
        <v>1</v>
      </c>
      <c r="AM479" s="147">
        <f t="shared" si="124"/>
        <v>1</v>
      </c>
      <c r="AN479" s="147">
        <f t="shared" si="125"/>
        <v>5082711</v>
      </c>
      <c r="AO479" s="147" t="s">
        <v>6652</v>
      </c>
    </row>
    <row r="480" spans="18:46">
      <c r="R480" s="97" t="s">
        <v>5712</v>
      </c>
      <c r="S480" s="93">
        <v>984486.34963200008</v>
      </c>
      <c r="U480" s="19" t="s">
        <v>6458</v>
      </c>
      <c r="V480" s="19">
        <v>283</v>
      </c>
      <c r="W480" s="115">
        <v>2014.7222959999999</v>
      </c>
      <c r="X480" s="115">
        <f t="shared" si="103"/>
        <v>570166.40976800001</v>
      </c>
      <c r="Y480" s="261" t="s">
        <v>6459</v>
      </c>
      <c r="Z480" t="s">
        <v>25</v>
      </c>
      <c r="AB480" t="s">
        <v>25</v>
      </c>
      <c r="AI480" s="147"/>
      <c r="AJ480" s="147"/>
      <c r="AK480" s="186"/>
      <c r="AL480" s="147"/>
      <c r="AM480" s="147">
        <f t="shared" si="124"/>
        <v>0</v>
      </c>
      <c r="AN480" s="147">
        <f t="shared" si="125"/>
        <v>0</v>
      </c>
      <c r="AO480" s="147"/>
    </row>
    <row r="481" spans="18:46">
      <c r="R481" s="97" t="s">
        <v>5722</v>
      </c>
      <c r="S481" s="93">
        <v>2143469.938015</v>
      </c>
      <c r="U481" s="19" t="s">
        <v>6461</v>
      </c>
      <c r="V481" s="19">
        <v>1704</v>
      </c>
      <c r="W481" s="115">
        <v>2104.0605820000001</v>
      </c>
      <c r="X481" s="115">
        <f t="shared" si="103"/>
        <v>3585319.2317280001</v>
      </c>
      <c r="Y481" s="261" t="s">
        <v>5103</v>
      </c>
      <c r="AA481" t="s">
        <v>25</v>
      </c>
      <c r="AB481" t="s">
        <v>25</v>
      </c>
      <c r="AI481" s="147"/>
      <c r="AJ481" s="147"/>
      <c r="AK481" s="186"/>
      <c r="AL481" s="147"/>
      <c r="AM481" s="147">
        <f t="shared" si="124"/>
        <v>0</v>
      </c>
      <c r="AN481" s="147">
        <f t="shared" si="125"/>
        <v>0</v>
      </c>
      <c r="AO481" s="147"/>
    </row>
    <row r="482" spans="18:46">
      <c r="R482" s="97" t="s">
        <v>5723</v>
      </c>
      <c r="S482" s="93">
        <v>3085460.5177150001</v>
      </c>
      <c r="U482" s="19" t="s">
        <v>6464</v>
      </c>
      <c r="V482" s="19">
        <v>324</v>
      </c>
      <c r="W482" s="115">
        <v>2088.5824040000002</v>
      </c>
      <c r="X482" s="115">
        <f t="shared" si="103"/>
        <v>676700.69889600005</v>
      </c>
      <c r="Y482" s="261" t="s">
        <v>5103</v>
      </c>
      <c r="Z482" t="s">
        <v>25</v>
      </c>
      <c r="AA482" t="s">
        <v>25</v>
      </c>
      <c r="AB482" t="s">
        <v>25</v>
      </c>
      <c r="AI482" s="147"/>
      <c r="AJ482" s="147"/>
      <c r="AK482" s="186"/>
      <c r="AL482" s="147"/>
      <c r="AM482" s="147">
        <f t="shared" si="124"/>
        <v>0</v>
      </c>
      <c r="AN482" s="147">
        <f t="shared" si="125"/>
        <v>0</v>
      </c>
      <c r="AO482" s="147"/>
    </row>
    <row r="483" spans="18:46">
      <c r="R483" s="97" t="s">
        <v>5724</v>
      </c>
      <c r="S483" s="93">
        <v>8261456.790906</v>
      </c>
      <c r="U483" s="19" t="s">
        <v>6472</v>
      </c>
      <c r="V483" s="19">
        <v>538</v>
      </c>
      <c r="W483" s="115">
        <v>2055.3485930000002</v>
      </c>
      <c r="X483" s="115">
        <f t="shared" si="103"/>
        <v>1105777.5430340001</v>
      </c>
      <c r="Y483" s="261" t="s">
        <v>5103</v>
      </c>
      <c r="Z483" t="s">
        <v>25</v>
      </c>
      <c r="AI483" s="147"/>
      <c r="AJ483" s="147"/>
      <c r="AK483" s="186"/>
      <c r="AL483" s="147"/>
      <c r="AM483" s="147">
        <f t="shared" si="124"/>
        <v>0</v>
      </c>
      <c r="AN483" s="147">
        <f t="shared" si="125"/>
        <v>0</v>
      </c>
      <c r="AO483" s="147"/>
    </row>
    <row r="484" spans="18:46">
      <c r="R484" s="97" t="s">
        <v>5728</v>
      </c>
      <c r="S484" s="93">
        <v>6572373.7593120001</v>
      </c>
      <c r="U484" s="19" t="s">
        <v>6476</v>
      </c>
      <c r="V484" s="19">
        <v>1031</v>
      </c>
      <c r="W484" s="115">
        <v>2245.620621</v>
      </c>
      <c r="X484" s="115">
        <f t="shared" si="103"/>
        <v>2315234.8602510002</v>
      </c>
      <c r="Y484" s="261" t="s">
        <v>5103</v>
      </c>
      <c r="Z484" t="s">
        <v>25</v>
      </c>
      <c r="AB484" t="s">
        <v>25</v>
      </c>
      <c r="AI484" s="20"/>
      <c r="AJ484" s="20"/>
      <c r="AK484" s="115"/>
      <c r="AL484" s="20"/>
      <c r="AM484" s="20">
        <f t="shared" si="122"/>
        <v>0</v>
      </c>
      <c r="AN484" s="20">
        <f t="shared" si="123"/>
        <v>0</v>
      </c>
      <c r="AO484" s="20"/>
    </row>
    <row r="485" spans="18:46">
      <c r="R485" s="97" t="s">
        <v>5729</v>
      </c>
      <c r="S485" s="93">
        <v>2893243.5730909999</v>
      </c>
      <c r="U485" s="19" t="s">
        <v>6478</v>
      </c>
      <c r="V485" s="19">
        <v>1804</v>
      </c>
      <c r="W485" s="115">
        <v>2292.882846</v>
      </c>
      <c r="X485" s="115">
        <f t="shared" si="103"/>
        <v>4136360.6541840001</v>
      </c>
      <c r="Y485" s="261" t="s">
        <v>5103</v>
      </c>
      <c r="AB485" t="s">
        <v>25</v>
      </c>
      <c r="AI485" s="20"/>
      <c r="AJ485" s="20"/>
      <c r="AK485" s="115"/>
      <c r="AL485" s="20"/>
      <c r="AM485" s="20">
        <f t="shared" si="122"/>
        <v>0</v>
      </c>
      <c r="AN485" s="20">
        <f t="shared" si="123"/>
        <v>0</v>
      </c>
      <c r="AO485" s="20"/>
    </row>
    <row r="486" spans="18:46">
      <c r="R486" s="97" t="s">
        <v>5734</v>
      </c>
      <c r="S486" s="93">
        <v>94992058.939007998</v>
      </c>
      <c r="U486" s="19" t="s">
        <v>6480</v>
      </c>
      <c r="V486" s="19">
        <v>1348</v>
      </c>
      <c r="W486" s="115">
        <v>2252.0137020000002</v>
      </c>
      <c r="X486" s="115">
        <f t="shared" si="103"/>
        <v>3035714.4702960001</v>
      </c>
      <c r="Y486" s="261" t="s">
        <v>5103</v>
      </c>
      <c r="AI486" s="20"/>
      <c r="AJ486" s="20"/>
      <c r="AK486" s="115"/>
      <c r="AL486" s="20"/>
      <c r="AM486" s="20">
        <f t="shared" si="122"/>
        <v>0</v>
      </c>
      <c r="AN486" s="20">
        <f t="shared" si="123"/>
        <v>0</v>
      </c>
      <c r="AO486" s="20"/>
    </row>
    <row r="487" spans="18:46">
      <c r="R487" s="97" t="s">
        <v>5739</v>
      </c>
      <c r="S487" s="93">
        <v>275021.925965</v>
      </c>
      <c r="U487" s="19" t="s">
        <v>6488</v>
      </c>
      <c r="V487" s="19">
        <v>-76536</v>
      </c>
      <c r="W487" s="115">
        <v>2350.6086869999999</v>
      </c>
      <c r="X487" s="115">
        <f t="shared" si="103"/>
        <v>-179906186.46823201</v>
      </c>
      <c r="Y487" s="261" t="s">
        <v>6491</v>
      </c>
      <c r="AI487" s="97"/>
      <c r="AJ487" s="97"/>
      <c r="AK487" s="115"/>
      <c r="AL487" s="97"/>
      <c r="AM487" s="20">
        <f t="shared" si="122"/>
        <v>0</v>
      </c>
      <c r="AN487" s="20">
        <f t="shared" si="123"/>
        <v>0</v>
      </c>
      <c r="AO487" s="20"/>
    </row>
    <row r="488" spans="18:46">
      <c r="R488" s="97" t="s">
        <v>5749</v>
      </c>
      <c r="S488" s="93">
        <v>327451.9203</v>
      </c>
      <c r="U488" s="19" t="s">
        <v>6494</v>
      </c>
      <c r="V488" s="19">
        <v>145</v>
      </c>
      <c r="W488" s="115">
        <v>2379.7882030000001</v>
      </c>
      <c r="X488" s="115">
        <f t="shared" si="103"/>
        <v>345069.28943499998</v>
      </c>
      <c r="Y488" s="261" t="s">
        <v>5103</v>
      </c>
      <c r="Z488" t="s">
        <v>25</v>
      </c>
      <c r="AB488" t="s">
        <v>25</v>
      </c>
      <c r="AI488" s="97"/>
      <c r="AJ488" s="97"/>
      <c r="AK488" s="115"/>
      <c r="AL488" s="97"/>
      <c r="AM488" s="20">
        <f t="shared" si="118"/>
        <v>0</v>
      </c>
      <c r="AN488" s="20">
        <f t="shared" si="119"/>
        <v>0</v>
      </c>
      <c r="AO488" s="97"/>
    </row>
    <row r="489" spans="18:46">
      <c r="R489" s="97" t="s">
        <v>5758</v>
      </c>
      <c r="S489" s="93">
        <v>260081.94096800001</v>
      </c>
      <c r="U489" s="187" t="s">
        <v>6494</v>
      </c>
      <c r="V489" s="187">
        <v>55</v>
      </c>
      <c r="W489" s="186">
        <v>2379.7882030000001</v>
      </c>
      <c r="X489" s="186">
        <f t="shared" si="103"/>
        <v>130888.351165</v>
      </c>
      <c r="Y489" s="260" t="s">
        <v>6580</v>
      </c>
      <c r="AA489" t="s">
        <v>25</v>
      </c>
      <c r="AI489" s="97"/>
      <c r="AJ489" s="97"/>
      <c r="AK489" s="93">
        <f>SUM(AK292:AK488)</f>
        <v>206875387.84822798</v>
      </c>
      <c r="AL489" s="97"/>
      <c r="AM489" s="97"/>
      <c r="AN489" s="97">
        <f>SUM(AN292:AN488)</f>
        <v>218939463030</v>
      </c>
      <c r="AO489" s="93">
        <f>AN489*AO278/31</f>
        <v>117711742.91358097</v>
      </c>
    </row>
    <row r="490" spans="18:46">
      <c r="R490" s="97" t="s">
        <v>5759</v>
      </c>
      <c r="S490" s="93">
        <v>2909284.5308940001</v>
      </c>
      <c r="U490" s="19" t="s">
        <v>6494</v>
      </c>
      <c r="V490" s="19">
        <v>53</v>
      </c>
      <c r="W490" s="115">
        <v>2379.7882030000001</v>
      </c>
      <c r="X490" s="115">
        <f t="shared" si="103"/>
        <v>126128.77475900001</v>
      </c>
      <c r="Y490" s="261" t="s">
        <v>6581</v>
      </c>
      <c r="AA490" t="s">
        <v>25</v>
      </c>
      <c r="AC490" t="s">
        <v>25</v>
      </c>
      <c r="AK490" t="s">
        <v>4041</v>
      </c>
      <c r="AN490" t="s">
        <v>284</v>
      </c>
      <c r="AO490" t="s">
        <v>926</v>
      </c>
    </row>
    <row r="491" spans="18:46">
      <c r="R491" s="97" t="s">
        <v>5760</v>
      </c>
      <c r="S491" s="93">
        <v>37723205.094084002</v>
      </c>
      <c r="U491" s="19" t="s">
        <v>6586</v>
      </c>
      <c r="V491" s="19">
        <v>243</v>
      </c>
      <c r="W491" s="115">
        <v>2336.5653440000001</v>
      </c>
      <c r="X491" s="115">
        <f t="shared" si="103"/>
        <v>567785.37859199999</v>
      </c>
      <c r="Y491" s="261" t="s">
        <v>5103</v>
      </c>
      <c r="AT491" t="s">
        <v>25</v>
      </c>
    </row>
    <row r="492" spans="18:46">
      <c r="R492" s="97" t="s">
        <v>5761</v>
      </c>
      <c r="S492" s="93">
        <v>1500094.75168</v>
      </c>
      <c r="U492" s="19" t="s">
        <v>6597</v>
      </c>
      <c r="V492" s="19">
        <v>81</v>
      </c>
      <c r="W492" s="115">
        <v>2341.77675</v>
      </c>
      <c r="X492" s="115">
        <f t="shared" si="103"/>
        <v>189683.91675</v>
      </c>
      <c r="Y492" s="261" t="s">
        <v>5103</v>
      </c>
      <c r="Z492" t="s">
        <v>25</v>
      </c>
      <c r="AJ492" t="s">
        <v>4043</v>
      </c>
      <c r="AK492" s="112">
        <f>AK489+AO489</f>
        <v>324587130.76180893</v>
      </c>
      <c r="AN492" t="s">
        <v>25</v>
      </c>
    </row>
    <row r="493" spans="18:46">
      <c r="R493" s="97" t="s">
        <v>5763</v>
      </c>
      <c r="S493" s="93">
        <v>7230628.4378079996</v>
      </c>
      <c r="U493" s="187" t="s">
        <v>6598</v>
      </c>
      <c r="V493" s="187">
        <v>21767</v>
      </c>
      <c r="W493" s="186">
        <v>2297.060872</v>
      </c>
      <c r="X493" s="186">
        <f t="shared" si="103"/>
        <v>50000124.000823997</v>
      </c>
      <c r="Y493" s="260" t="s">
        <v>6600</v>
      </c>
      <c r="AJ493" t="s">
        <v>4046</v>
      </c>
      <c r="AK493" s="112">
        <f>SUM(N20:N33)</f>
        <v>4499014501</v>
      </c>
    </row>
    <row r="494" spans="18:46">
      <c r="R494" s="97" t="s">
        <v>5764</v>
      </c>
      <c r="S494" s="93">
        <v>29767389.390390001</v>
      </c>
      <c r="U494" s="19" t="s">
        <v>6598</v>
      </c>
      <c r="V494" s="19">
        <v>4353</v>
      </c>
      <c r="W494" s="115">
        <v>2297.060872</v>
      </c>
      <c r="X494" s="115">
        <f t="shared" si="103"/>
        <v>9999105.9758160003</v>
      </c>
      <c r="Y494" s="261" t="s">
        <v>6601</v>
      </c>
      <c r="AA494" t="s">
        <v>25</v>
      </c>
      <c r="AJ494" t="s">
        <v>4116</v>
      </c>
      <c r="AK494" s="112">
        <f>AK493-AK489</f>
        <v>4292139113.151772</v>
      </c>
    </row>
    <row r="495" spans="18:46">
      <c r="R495" s="97" t="s">
        <v>5766</v>
      </c>
      <c r="S495" s="93">
        <v>151560.25597</v>
      </c>
      <c r="U495" s="19" t="s">
        <v>6598</v>
      </c>
      <c r="V495" s="19">
        <v>226</v>
      </c>
      <c r="W495" s="115">
        <v>2297.060872</v>
      </c>
      <c r="X495" s="115">
        <f t="shared" si="103"/>
        <v>519135.75707200001</v>
      </c>
      <c r="Y495" s="261" t="s">
        <v>5103</v>
      </c>
      <c r="AB495" t="s">
        <v>25</v>
      </c>
      <c r="AJ495" t="s">
        <v>926</v>
      </c>
      <c r="AK495" s="112">
        <f>AO489</f>
        <v>117711742.91358097</v>
      </c>
    </row>
    <row r="496" spans="18:46">
      <c r="R496" s="97" t="s">
        <v>5769</v>
      </c>
      <c r="S496" s="93">
        <v>481318.88078800001</v>
      </c>
      <c r="U496" s="19" t="s">
        <v>6604</v>
      </c>
      <c r="V496" s="19">
        <v>1416</v>
      </c>
      <c r="W496" s="115">
        <v>2405.6595360000001</v>
      </c>
      <c r="X496" s="115">
        <f t="shared" si="103"/>
        <v>3406413.9029760002</v>
      </c>
      <c r="Y496" s="261" t="s">
        <v>5103</v>
      </c>
      <c r="AA496" t="s">
        <v>25</v>
      </c>
      <c r="AC496" t="s">
        <v>25</v>
      </c>
      <c r="AJ496" t="s">
        <v>4047</v>
      </c>
      <c r="AK496" s="112">
        <f>AK494-AK495</f>
        <v>4174427370.2381911</v>
      </c>
      <c r="AN496" t="s">
        <v>25</v>
      </c>
      <c r="AO496" t="s">
        <v>25</v>
      </c>
    </row>
    <row r="497" spans="18:41">
      <c r="R497" s="97" t="s">
        <v>5781</v>
      </c>
      <c r="S497" s="93">
        <v>146277.56820000001</v>
      </c>
      <c r="U497" s="19" t="s">
        <v>6606</v>
      </c>
      <c r="V497" s="19">
        <v>172</v>
      </c>
      <c r="W497" s="115">
        <v>2529.2810939999999</v>
      </c>
      <c r="X497" s="115">
        <f t="shared" si="103"/>
        <v>435036.348168</v>
      </c>
      <c r="Y497" s="261" t="s">
        <v>5103</v>
      </c>
      <c r="AA497" t="s">
        <v>25</v>
      </c>
      <c r="AM497" t="s">
        <v>25</v>
      </c>
      <c r="AN497" t="s">
        <v>25</v>
      </c>
      <c r="AO497" t="s">
        <v>25</v>
      </c>
    </row>
    <row r="498" spans="18:41">
      <c r="R498" s="97" t="s">
        <v>5784</v>
      </c>
      <c r="S498" s="93">
        <v>424693.40162399999</v>
      </c>
      <c r="U498" s="19" t="s">
        <v>6616</v>
      </c>
      <c r="V498" s="19">
        <v>-3909</v>
      </c>
      <c r="W498" s="115">
        <v>2881.8852230000002</v>
      </c>
      <c r="X498" s="115">
        <f>V498*W498</f>
        <v>-11265289.336707002</v>
      </c>
      <c r="Y498" s="261" t="s">
        <v>6617</v>
      </c>
    </row>
    <row r="499" spans="18:41">
      <c r="R499" s="97" t="s">
        <v>5786</v>
      </c>
      <c r="S499" s="93">
        <v>558320.40202399995</v>
      </c>
      <c r="U499" s="187" t="s">
        <v>6616</v>
      </c>
      <c r="V499" s="187">
        <v>-932</v>
      </c>
      <c r="W499" s="186">
        <v>2881.8852230000002</v>
      </c>
      <c r="X499" s="186">
        <f t="shared" si="103"/>
        <v>-2685917.0278360001</v>
      </c>
      <c r="Y499" s="260" t="s">
        <v>6618</v>
      </c>
      <c r="AB499" t="s">
        <v>25</v>
      </c>
      <c r="AC499" t="s">
        <v>25</v>
      </c>
    </row>
    <row r="500" spans="18:41">
      <c r="R500" s="97" t="s">
        <v>5808</v>
      </c>
      <c r="S500" s="93">
        <v>207642.22201140001</v>
      </c>
      <c r="U500" s="19" t="s">
        <v>6629</v>
      </c>
      <c r="V500" s="19">
        <v>33</v>
      </c>
      <c r="W500" s="115">
        <v>2905.0202519999998</v>
      </c>
      <c r="X500" s="115">
        <f t="shared" si="103"/>
        <v>95865.668315999996</v>
      </c>
      <c r="Y500" s="261" t="s">
        <v>4406</v>
      </c>
      <c r="AO500" t="s">
        <v>25</v>
      </c>
    </row>
    <row r="501" spans="18:41">
      <c r="R501" s="97" t="s">
        <v>5808</v>
      </c>
      <c r="S501" s="93">
        <v>33832510.64875</v>
      </c>
      <c r="U501" s="187" t="s">
        <v>6650</v>
      </c>
      <c r="V501" s="187">
        <v>10421</v>
      </c>
      <c r="W501" s="186">
        <v>2780.2819920000002</v>
      </c>
      <c r="X501" s="186">
        <f t="shared" si="103"/>
        <v>28973318.638632003</v>
      </c>
      <c r="Y501" s="260" t="s">
        <v>6653</v>
      </c>
      <c r="AC501" t="s">
        <v>25</v>
      </c>
      <c r="AO501" t="s">
        <v>25</v>
      </c>
    </row>
    <row r="502" spans="18:41">
      <c r="R502" s="97" t="s">
        <v>5819</v>
      </c>
      <c r="S502" s="93">
        <v>637977.33504399995</v>
      </c>
      <c r="U502" s="19" t="s">
        <v>6650</v>
      </c>
      <c r="V502" s="19">
        <v>835</v>
      </c>
      <c r="W502" s="115">
        <v>2780.2819920000002</v>
      </c>
      <c r="X502" s="115">
        <f t="shared" si="103"/>
        <v>2321535.4633200001</v>
      </c>
      <c r="Y502" s="261" t="s">
        <v>5103</v>
      </c>
    </row>
    <row r="503" spans="18:41">
      <c r="R503" s="97" t="s">
        <v>5820</v>
      </c>
      <c r="S503" s="93">
        <v>466552.25632400002</v>
      </c>
      <c r="U503" s="19" t="s">
        <v>6980</v>
      </c>
      <c r="V503" s="19">
        <v>410</v>
      </c>
      <c r="W503" s="115">
        <v>2678.4068379999999</v>
      </c>
      <c r="X503" s="115">
        <f t="shared" si="103"/>
        <v>1098146.8035800001</v>
      </c>
      <c r="Y503" s="261" t="s">
        <v>5103</v>
      </c>
    </row>
    <row r="504" spans="18:41">
      <c r="R504" s="97" t="s">
        <v>5821</v>
      </c>
      <c r="S504" s="93">
        <v>149316.98805000001</v>
      </c>
      <c r="U504" s="19" t="s">
        <v>6986</v>
      </c>
      <c r="V504" s="19">
        <v>201</v>
      </c>
      <c r="W504" s="115">
        <v>2688.6794049999999</v>
      </c>
      <c r="X504" s="115">
        <f t="shared" si="103"/>
        <v>540424.560405</v>
      </c>
      <c r="Y504" s="261" t="s">
        <v>5103</v>
      </c>
      <c r="AA504" t="s">
        <v>25</v>
      </c>
    </row>
    <row r="505" spans="18:41">
      <c r="R505" s="97" t="s">
        <v>5821</v>
      </c>
      <c r="S505" s="93">
        <v>189134.85153000001</v>
      </c>
      <c r="U505" s="19" t="s">
        <v>6988</v>
      </c>
      <c r="V505" s="19">
        <v>1133</v>
      </c>
      <c r="W505" s="115">
        <v>2455.1740869999999</v>
      </c>
      <c r="X505" s="115">
        <f t="shared" si="103"/>
        <v>2781712.2405709997</v>
      </c>
      <c r="Y505" s="261" t="s">
        <v>5103</v>
      </c>
      <c r="AA505" t="s">
        <v>25</v>
      </c>
      <c r="AB505" t="s">
        <v>25</v>
      </c>
    </row>
    <row r="506" spans="18:41" ht="30">
      <c r="R506" s="97" t="s">
        <v>5823</v>
      </c>
      <c r="S506" s="93">
        <v>564888.82799599995</v>
      </c>
      <c r="U506" s="19" t="s">
        <v>6993</v>
      </c>
      <c r="V506" s="19">
        <v>59</v>
      </c>
      <c r="W506" s="115">
        <v>2706.4553110000002</v>
      </c>
      <c r="X506" s="115">
        <f t="shared" si="103"/>
        <v>159680.86334900002</v>
      </c>
      <c r="Y506" s="261" t="s">
        <v>6994</v>
      </c>
      <c r="Z506" t="s">
        <v>25</v>
      </c>
      <c r="AA506" t="s">
        <v>25</v>
      </c>
      <c r="AB506" t="s">
        <v>25</v>
      </c>
    </row>
    <row r="507" spans="18:41">
      <c r="R507" s="97" t="s">
        <v>5826</v>
      </c>
      <c r="S507" s="93">
        <v>8762299.2047910001</v>
      </c>
      <c r="U507" s="19" t="s">
        <v>7019</v>
      </c>
      <c r="V507" s="19">
        <v>4795</v>
      </c>
      <c r="W507" s="115">
        <v>2908.4025580000002</v>
      </c>
      <c r="X507" s="115">
        <f t="shared" si="103"/>
        <v>13945790.265610002</v>
      </c>
      <c r="Y507" s="261" t="s">
        <v>5344</v>
      </c>
    </row>
    <row r="508" spans="18:41">
      <c r="R508" s="97" t="s">
        <v>5826</v>
      </c>
      <c r="S508" s="93">
        <v>-341847876.93843603</v>
      </c>
      <c r="U508" s="19" t="s">
        <v>7021</v>
      </c>
      <c r="V508" s="19">
        <v>164</v>
      </c>
      <c r="W508" s="115">
        <v>2792.1636870000002</v>
      </c>
      <c r="X508" s="115">
        <f t="shared" si="103"/>
        <v>457914.84466800001</v>
      </c>
      <c r="Y508" s="261" t="s">
        <v>5344</v>
      </c>
    </row>
    <row r="509" spans="18:41">
      <c r="R509" s="97" t="s">
        <v>5858</v>
      </c>
      <c r="S509" s="93">
        <v>259993.58394100002</v>
      </c>
      <c r="U509" s="19" t="s">
        <v>7023</v>
      </c>
      <c r="V509" s="19">
        <v>352</v>
      </c>
      <c r="W509" s="115">
        <v>2768.6657369999998</v>
      </c>
      <c r="X509" s="115">
        <f t="shared" si="103"/>
        <v>974570.33942399989</v>
      </c>
      <c r="Y509" s="261" t="s">
        <v>5344</v>
      </c>
    </row>
    <row r="510" spans="18:41">
      <c r="R510" s="97" t="s">
        <v>5859</v>
      </c>
      <c r="S510" s="93">
        <v>269955.31205999997</v>
      </c>
      <c r="U510" s="19" t="s">
        <v>7025</v>
      </c>
      <c r="V510" s="19">
        <v>283</v>
      </c>
      <c r="W510" s="115">
        <v>2636.7439079999999</v>
      </c>
      <c r="X510" s="115">
        <f t="shared" si="103"/>
        <v>746198.52596400003</v>
      </c>
      <c r="Y510" s="261" t="s">
        <v>5344</v>
      </c>
      <c r="Z510" t="s">
        <v>25</v>
      </c>
    </row>
    <row r="511" spans="18:41">
      <c r="R511" s="97" t="s">
        <v>6400</v>
      </c>
      <c r="S511" s="93">
        <v>560534.38387200003</v>
      </c>
      <c r="U511" s="19" t="s">
        <v>7036</v>
      </c>
      <c r="V511" s="19">
        <v>154</v>
      </c>
      <c r="W511" s="115">
        <v>2702</v>
      </c>
      <c r="X511" s="115">
        <f t="shared" si="103"/>
        <v>416108</v>
      </c>
      <c r="Y511" s="261" t="s">
        <v>5344</v>
      </c>
      <c r="Z511" t="s">
        <v>25</v>
      </c>
      <c r="AA511" t="s">
        <v>25</v>
      </c>
    </row>
    <row r="512" spans="18:41">
      <c r="R512" s="97" t="s">
        <v>6402</v>
      </c>
      <c r="S512" s="93">
        <v>581484.96802499995</v>
      </c>
      <c r="U512" s="19" t="s">
        <v>7053</v>
      </c>
      <c r="V512" s="19">
        <v>135</v>
      </c>
      <c r="W512" s="115">
        <v>2678.6709300000002</v>
      </c>
      <c r="X512" s="115">
        <f t="shared" si="103"/>
        <v>361620.57555000001</v>
      </c>
      <c r="Y512" s="261" t="s">
        <v>5344</v>
      </c>
      <c r="AA512" t="s">
        <v>25</v>
      </c>
    </row>
    <row r="513" spans="15:28">
      <c r="P513" t="s">
        <v>25</v>
      </c>
      <c r="R513" s="97" t="s">
        <v>6404</v>
      </c>
      <c r="S513" s="93">
        <v>2136964.3409779998</v>
      </c>
      <c r="U513" s="19" t="s">
        <v>7054</v>
      </c>
      <c r="V513" s="19">
        <v>291</v>
      </c>
      <c r="W513" s="115">
        <v>2616.1873500000002</v>
      </c>
      <c r="X513" s="115">
        <f t="shared" si="103"/>
        <v>761310.51884999999</v>
      </c>
      <c r="Y513" s="261" t="s">
        <v>5344</v>
      </c>
      <c r="AA513" t="s">
        <v>25</v>
      </c>
    </row>
    <row r="514" spans="15:28">
      <c r="R514" s="97" t="s">
        <v>6407</v>
      </c>
      <c r="S514" s="93">
        <v>593783.22629999998</v>
      </c>
      <c r="U514" s="19" t="s">
        <v>7057</v>
      </c>
      <c r="V514" s="19">
        <v>1194</v>
      </c>
      <c r="W514" s="115">
        <v>2552.0103049999998</v>
      </c>
      <c r="X514" s="115">
        <f t="shared" si="103"/>
        <v>3047100.3041699999</v>
      </c>
      <c r="Y514" s="261" t="s">
        <v>5344</v>
      </c>
      <c r="Z514" t="s">
        <v>25</v>
      </c>
      <c r="AA514" t="s">
        <v>25</v>
      </c>
    </row>
    <row r="515" spans="15:28">
      <c r="R515" s="97" t="s">
        <v>6411</v>
      </c>
      <c r="S515" s="93">
        <v>469469.96222000004</v>
      </c>
      <c r="U515" s="19"/>
      <c r="V515" s="19"/>
      <c r="W515" s="115"/>
      <c r="X515" s="115"/>
      <c r="Y515" s="261"/>
    </row>
    <row r="516" spans="15:28">
      <c r="R516" s="97" t="s">
        <v>6453</v>
      </c>
      <c r="S516" s="93">
        <v>73977944.489465997</v>
      </c>
      <c r="U516" s="19"/>
      <c r="V516" s="19"/>
      <c r="W516" s="115"/>
      <c r="X516" s="115"/>
      <c r="Y516" s="261"/>
      <c r="AB516" t="s">
        <v>25</v>
      </c>
    </row>
    <row r="517" spans="15:28">
      <c r="R517" s="97" t="s">
        <v>6458</v>
      </c>
      <c r="S517" s="93">
        <v>570166.40976800001</v>
      </c>
      <c r="U517" s="19"/>
      <c r="V517" s="19"/>
      <c r="W517" s="115"/>
      <c r="X517" s="115"/>
      <c r="Y517" s="261"/>
    </row>
    <row r="518" spans="15:28">
      <c r="R518" s="97" t="s">
        <v>6461</v>
      </c>
      <c r="S518" s="93">
        <v>3585319.2317280001</v>
      </c>
      <c r="U518" s="19"/>
      <c r="V518" s="19"/>
      <c r="W518" s="115"/>
      <c r="X518" s="115">
        <f t="shared" si="103"/>
        <v>0</v>
      </c>
      <c r="Y518" s="261"/>
      <c r="Z518" t="s">
        <v>25</v>
      </c>
    </row>
    <row r="519" spans="15:28">
      <c r="R519" s="97" t="s">
        <v>6464</v>
      </c>
      <c r="S519" s="93">
        <v>676700.69889600005</v>
      </c>
      <c r="U519" s="19"/>
      <c r="V519" s="19"/>
      <c r="W519" s="115"/>
      <c r="X519" s="115">
        <f t="shared" si="103"/>
        <v>0</v>
      </c>
      <c r="Y519" s="261"/>
    </row>
    <row r="520" spans="15:28">
      <c r="R520" s="97" t="s">
        <v>6472</v>
      </c>
      <c r="S520" s="93">
        <v>1105777.5430340001</v>
      </c>
      <c r="U520" s="97"/>
      <c r="V520" s="166"/>
      <c r="W520" s="111"/>
      <c r="X520" s="115">
        <f t="shared" si="103"/>
        <v>0</v>
      </c>
      <c r="Y520" s="97"/>
    </row>
    <row r="521" spans="15:28">
      <c r="R521" s="97" t="s">
        <v>6476</v>
      </c>
      <c r="S521" s="93">
        <v>2315234.8602510002</v>
      </c>
      <c r="U521" s="166"/>
      <c r="V521" s="166">
        <f>SUM(V164:V520)</f>
        <v>4323863</v>
      </c>
      <c r="W521" s="97"/>
      <c r="X521" s="97"/>
      <c r="Y521" s="97"/>
      <c r="Z521" t="s">
        <v>25</v>
      </c>
    </row>
    <row r="522" spans="15:28">
      <c r="R522" s="97" t="s">
        <v>6478</v>
      </c>
      <c r="S522" s="93">
        <v>4136360.6541840001</v>
      </c>
      <c r="U522" s="97"/>
      <c r="V522" s="97" t="s">
        <v>6</v>
      </c>
      <c r="W522" s="97"/>
      <c r="X522" s="97"/>
      <c r="Y522" s="97"/>
      <c r="AA522" t="s">
        <v>25</v>
      </c>
    </row>
    <row r="523" spans="15:28">
      <c r="R523" s="97" t="s">
        <v>6480</v>
      </c>
      <c r="S523" s="93">
        <v>3035714.4702960001</v>
      </c>
      <c r="U523" s="197" t="s">
        <v>4433</v>
      </c>
    </row>
    <row r="524" spans="15:28">
      <c r="O524" s="112"/>
      <c r="R524" s="97" t="s">
        <v>6488</v>
      </c>
      <c r="S524" s="93">
        <v>-179906186.46823201</v>
      </c>
      <c r="U524" s="196">
        <f>S180/V521</f>
        <v>2597.7048701589297</v>
      </c>
      <c r="Y524" t="s">
        <v>25</v>
      </c>
    </row>
    <row r="525" spans="15:28">
      <c r="R525" s="97" t="s">
        <v>6494</v>
      </c>
      <c r="S525" s="93">
        <v>345069.28943499998</v>
      </c>
      <c r="X525" s="112"/>
    </row>
    <row r="526" spans="15:28">
      <c r="R526" s="97" t="s">
        <v>6586</v>
      </c>
      <c r="S526" s="93">
        <v>567785.37859199999</v>
      </c>
      <c r="V526" s="94" t="s">
        <v>267</v>
      </c>
      <c r="W526" t="s">
        <v>4434</v>
      </c>
      <c r="Y526" t="s">
        <v>25</v>
      </c>
    </row>
    <row r="527" spans="15:28">
      <c r="R527" s="97" t="s">
        <v>6597</v>
      </c>
      <c r="S527" s="93">
        <v>189683.91675</v>
      </c>
      <c r="U527" s="112"/>
      <c r="V527" s="93">
        <v>-3047335</v>
      </c>
      <c r="W527">
        <f>V527/U524</f>
        <v>-1173.0874569340749</v>
      </c>
      <c r="Y527" t="s">
        <v>25</v>
      </c>
    </row>
    <row r="528" spans="15:28">
      <c r="R528" s="97" t="s">
        <v>6598</v>
      </c>
      <c r="S528" s="93">
        <v>10000000</v>
      </c>
      <c r="U528" t="s">
        <v>25</v>
      </c>
      <c r="Y528" t="s">
        <v>25</v>
      </c>
    </row>
    <row r="529" spans="18:25">
      <c r="R529" s="97" t="s">
        <v>6598</v>
      </c>
      <c r="S529" s="93">
        <v>519135.75707200001</v>
      </c>
      <c r="U529" t="s">
        <v>25</v>
      </c>
      <c r="V529" s="94" t="s">
        <v>25</v>
      </c>
      <c r="W529" s="22"/>
      <c r="X529" s="213"/>
      <c r="Y529" s="270" t="s">
        <v>25</v>
      </c>
    </row>
    <row r="530" spans="18:25">
      <c r="R530" s="97" t="s">
        <v>6604</v>
      </c>
      <c r="S530" s="93">
        <v>3406413.9029760002</v>
      </c>
      <c r="W530" t="s">
        <v>25</v>
      </c>
      <c r="Y530" t="s">
        <v>25</v>
      </c>
    </row>
    <row r="531" spans="18:25">
      <c r="R531" s="97" t="s">
        <v>6606</v>
      </c>
      <c r="S531" s="93">
        <v>435036.348168</v>
      </c>
      <c r="X531" s="112"/>
      <c r="Y531" t="s">
        <v>25</v>
      </c>
    </row>
    <row r="532" spans="18:25">
      <c r="R532" s="97" t="s">
        <v>6650</v>
      </c>
      <c r="S532" s="93">
        <v>2321535.4633200001</v>
      </c>
      <c r="U532" s="22"/>
      <c r="W532" s="213"/>
    </row>
    <row r="533" spans="18:25">
      <c r="R533" s="97" t="s">
        <v>6980</v>
      </c>
      <c r="S533" s="93">
        <v>1098146.8035800001</v>
      </c>
      <c r="U533" s="22"/>
      <c r="X533" s="270"/>
    </row>
    <row r="534" spans="18:25">
      <c r="R534" s="97" t="s">
        <v>6986</v>
      </c>
      <c r="S534" s="93">
        <v>540424.560405</v>
      </c>
    </row>
    <row r="535" spans="18:25">
      <c r="R535" s="97" t="s">
        <v>6988</v>
      </c>
      <c r="S535" s="93">
        <v>2781712.2405709997</v>
      </c>
    </row>
    <row r="536" spans="18:25">
      <c r="R536" s="97" t="s">
        <v>6993</v>
      </c>
      <c r="S536" s="93">
        <v>159680.86334900002</v>
      </c>
      <c r="U536" s="97" t="s">
        <v>4435</v>
      </c>
      <c r="V536" s="97" t="s">
        <v>4416</v>
      </c>
      <c r="W536" s="97" t="s">
        <v>936</v>
      </c>
      <c r="X536" s="421"/>
    </row>
    <row r="537" spans="18:25">
      <c r="R537" s="97" t="s">
        <v>7019</v>
      </c>
      <c r="S537" s="93">
        <v>13945790.265610002</v>
      </c>
      <c r="U537" s="93">
        <f>T233+S301+S549</f>
        <v>2399937894.708972</v>
      </c>
      <c r="V537" s="93">
        <f>S180</f>
        <v>11232119973</v>
      </c>
      <c r="W537" s="93">
        <f>V537-U537</f>
        <v>8832182078.2910271</v>
      </c>
    </row>
    <row r="538" spans="18:25">
      <c r="R538" s="97" t="s">
        <v>7021</v>
      </c>
      <c r="S538" s="93">
        <v>457914.84466800001</v>
      </c>
      <c r="X538" s="94" t="s">
        <v>25</v>
      </c>
    </row>
    <row r="539" spans="18:25">
      <c r="R539" s="97" t="s">
        <v>7023</v>
      </c>
      <c r="S539" s="93">
        <v>974570.33942399989</v>
      </c>
    </row>
    <row r="540" spans="18:25">
      <c r="R540" s="97" t="s">
        <v>7025</v>
      </c>
      <c r="S540" s="93">
        <v>746198.52596400003</v>
      </c>
      <c r="U540" s="112"/>
      <c r="W540" s="112"/>
    </row>
    <row r="541" spans="18:25">
      <c r="R541" s="97" t="s">
        <v>7036</v>
      </c>
      <c r="S541" s="93">
        <v>416108</v>
      </c>
    </row>
    <row r="542" spans="18:25">
      <c r="R542" s="97" t="s">
        <v>7053</v>
      </c>
      <c r="S542" s="93">
        <v>361620.57555000001</v>
      </c>
      <c r="U542" s="112"/>
    </row>
    <row r="543" spans="18:25">
      <c r="R543" s="97" t="s">
        <v>7054</v>
      </c>
      <c r="S543" s="93">
        <v>761310.51884999999</v>
      </c>
    </row>
    <row r="544" spans="18:25">
      <c r="R544" s="97" t="s">
        <v>7057</v>
      </c>
      <c r="S544" s="93">
        <v>3047100.3041699999</v>
      </c>
      <c r="U544" s="112"/>
    </row>
    <row r="545" spans="18:25">
      <c r="R545" s="97"/>
      <c r="S545" s="93"/>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2087142315.1437089</v>
      </c>
      <c r="U549" t="s">
        <v>25</v>
      </c>
    </row>
    <row r="550" spans="18:25">
      <c r="S550" s="97" t="s">
        <v>6</v>
      </c>
      <c r="U550" s="421" t="s">
        <v>25</v>
      </c>
      <c r="V550" s="421"/>
      <c r="W550" s="421"/>
    </row>
    <row r="551" spans="18:25">
      <c r="U551" s="421" t="s">
        <v>25</v>
      </c>
      <c r="V551" s="421"/>
      <c r="W551" s="421"/>
      <c r="X551" s="94" t="s">
        <v>25</v>
      </c>
    </row>
    <row r="552" spans="18:25">
      <c r="R552" t="s">
        <v>25</v>
      </c>
      <c r="U552" s="421"/>
      <c r="V552" s="421"/>
      <c r="W552" s="421"/>
      <c r="Y552" t="s">
        <v>25</v>
      </c>
    </row>
    <row r="553" spans="18:25">
      <c r="R553" t="s">
        <v>25</v>
      </c>
      <c r="U553" s="421"/>
      <c r="V553" s="421"/>
      <c r="W553" s="421" t="s">
        <v>25</v>
      </c>
    </row>
    <row r="554" spans="18:25">
      <c r="R554" t="s">
        <v>25</v>
      </c>
      <c r="S554" t="s">
        <v>25</v>
      </c>
      <c r="U554" s="421"/>
      <c r="V554" s="421"/>
      <c r="W554" s="421"/>
    </row>
    <row r="555" spans="18:25">
      <c r="R555" t="s">
        <v>25</v>
      </c>
      <c r="S555" t="s">
        <v>25</v>
      </c>
      <c r="U555" s="421"/>
      <c r="V555" s="421"/>
      <c r="W555" s="421"/>
    </row>
    <row r="556" spans="18:25">
      <c r="R556" s="112"/>
      <c r="S556" t="s">
        <v>25</v>
      </c>
      <c r="U556" s="421"/>
      <c r="V556" s="421"/>
      <c r="W556" s="421"/>
    </row>
    <row r="557" spans="18:25">
      <c r="U557" s="421"/>
      <c r="V557" s="421"/>
      <c r="W557" s="421"/>
    </row>
    <row r="558" spans="18:25">
      <c r="S558" t="s">
        <v>25</v>
      </c>
      <c r="U558" s="421"/>
      <c r="V558" s="421"/>
      <c r="W558" s="421"/>
    </row>
    <row r="559" spans="18:25">
      <c r="R559" t="s">
        <v>25</v>
      </c>
      <c r="U559" s="421"/>
      <c r="V559" s="421"/>
      <c r="W559" s="421"/>
    </row>
    <row r="560" spans="18:25">
      <c r="U560" s="421"/>
      <c r="V560" s="421"/>
      <c r="W560" s="421"/>
    </row>
    <row r="561" spans="21:25">
      <c r="U561" s="421"/>
      <c r="V561" s="421"/>
      <c r="W561" s="421"/>
      <c r="Y561" t="s">
        <v>25</v>
      </c>
    </row>
    <row r="562" spans="21:25">
      <c r="U562" s="421"/>
      <c r="V562" s="421"/>
      <c r="W562" s="421"/>
    </row>
    <row r="563" spans="21:25">
      <c r="U563" s="421"/>
      <c r="V563" s="421"/>
      <c r="W563" s="421"/>
    </row>
    <row r="564" spans="21:25">
      <c r="U564" s="421"/>
      <c r="V564" s="421"/>
      <c r="W564" s="421"/>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9"/>
  <sheetViews>
    <sheetView topLeftCell="A16" zoomScale="80" zoomScaleNormal="80" workbookViewId="0">
      <selection activeCell="R32" sqref="R32"/>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1.4054054054054055</v>
      </c>
      <c r="J1" s="400">
        <f t="shared" ref="J1:J42" si="2">I1/H1</f>
        <v>1.128638437729347</v>
      </c>
      <c r="K1" s="32">
        <f t="shared" ref="K1:K43" si="3">(1/J1-1.0256)*100</f>
        <v>-13.957665844887268</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1.4054054054054055</v>
      </c>
      <c r="J2" s="400">
        <f>I2/H2</f>
        <v>1.0657240224883182</v>
      </c>
      <c r="K2" s="32">
        <f t="shared" si="3"/>
        <v>-8.7270771326765981</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1.4054054054054055</v>
      </c>
      <c r="J3" s="400">
        <f t="shared" si="2"/>
        <v>1.0558508299094074</v>
      </c>
      <c r="K3" s="32">
        <f t="shared" si="3"/>
        <v>-7.8496515613099893</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17.579445571331981</v>
      </c>
      <c r="J4" s="32">
        <f t="shared" si="2"/>
        <v>1.1041407106640198</v>
      </c>
      <c r="K4" s="32">
        <f t="shared" si="3"/>
        <v>-11.991833248987859</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17.579445571331981</v>
      </c>
      <c r="J5" s="32">
        <f t="shared" si="2"/>
        <v>1.0877628115518678</v>
      </c>
      <c r="K5" s="32">
        <f t="shared" si="3"/>
        <v>-10.628193784512652</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17.579445571331981</v>
      </c>
      <c r="J6" s="32">
        <f t="shared" si="2"/>
        <v>1.0786829884170441</v>
      </c>
      <c r="K6" s="32">
        <f t="shared" si="3"/>
        <v>-9.854357031857031</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17.579445571331981</v>
      </c>
      <c r="J7" s="32">
        <f t="shared" ref="J7:J9" si="7">I7/H7</f>
        <v>1.0750710491211584</v>
      </c>
      <c r="K7" s="32">
        <f t="shared" ref="K7:K9" si="8">(1/J7-1.0256)*100</f>
        <v>-9.542891891891891</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17.579445571331981</v>
      </c>
      <c r="J8" s="32">
        <f t="shared" si="7"/>
        <v>1.1619282036031351</v>
      </c>
      <c r="K8" s="32">
        <f t="shared" si="8"/>
        <v>-16.496162587412577</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17.579445571331981</v>
      </c>
      <c r="J9" s="32">
        <f t="shared" si="7"/>
        <v>1.0928715708901682</v>
      </c>
      <c r="K9" s="32">
        <f t="shared" si="8"/>
        <v>-11.057940047477155</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17.579445571331981</v>
      </c>
      <c r="J10" s="32">
        <f>I10/H10</f>
        <v>1.0758440684616479</v>
      </c>
      <c r="K10" s="32">
        <f t="shared" ref="K10" si="10">(1/J10-1.0256)*100</f>
        <v>-9.6097268781801795</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12.508451656524679</v>
      </c>
      <c r="J11" s="400">
        <f>I11/H11</f>
        <v>1.2134909306421588</v>
      </c>
      <c r="K11" s="400">
        <f>(1/J11-1.0256)*100</f>
        <v>-20.153121238177128</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12.508451656524679</v>
      </c>
      <c r="J12" s="400">
        <f t="shared" si="2"/>
        <v>1.2032220174992572</v>
      </c>
      <c r="K12" s="400">
        <f t="shared" si="3"/>
        <v>-19.449818715387892</v>
      </c>
      <c r="L12" s="400"/>
      <c r="M12" s="400"/>
      <c r="N12" s="400">
        <f t="shared" ref="N12:N20" si="13">H12/H11</f>
        <v>1.0085345123290248</v>
      </c>
      <c r="O12" s="40"/>
      <c r="P12" s="40" t="s">
        <v>25</v>
      </c>
      <c r="Q12" s="97">
        <v>61824</v>
      </c>
      <c r="R12" s="97">
        <v>115978</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12.508451656524679</v>
      </c>
      <c r="J13" s="400">
        <f t="shared" si="2"/>
        <v>1.1916323133026796</v>
      </c>
      <c r="K13" s="400">
        <f t="shared" si="3"/>
        <v>-18.641496881496888</v>
      </c>
      <c r="L13" s="400"/>
      <c r="M13" s="400"/>
      <c r="N13" s="400">
        <f t="shared" si="13"/>
        <v>1.0097259062776303</v>
      </c>
      <c r="O13" s="40"/>
      <c r="P13" s="40"/>
      <c r="Q13" s="97">
        <f>Q12*R13/R12</f>
        <v>13911.972546517443</v>
      </c>
      <c r="R13" s="97">
        <v>26098</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12.508451656524679</v>
      </c>
      <c r="J14" s="400">
        <f t="shared" si="2"/>
        <v>1.1761022207804399</v>
      </c>
      <c r="K14" s="400">
        <f t="shared" si="3"/>
        <v>-17.53337711543319</v>
      </c>
      <c r="L14" s="400"/>
      <c r="M14" s="400"/>
      <c r="N14" s="400">
        <f t="shared" si="13"/>
        <v>1.013204713202509</v>
      </c>
      <c r="O14" s="40"/>
      <c r="P14" s="40"/>
      <c r="Q14" s="97">
        <f>Q12-Q13</f>
        <v>47912.027453482558</v>
      </c>
      <c r="R14" s="97">
        <f>R12-R13</f>
        <v>89880</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12.508451656524679</v>
      </c>
      <c r="J15" s="400">
        <f t="shared" si="2"/>
        <v>1.1857026821896042</v>
      </c>
      <c r="K15" s="400">
        <f t="shared" si="3"/>
        <v>-18.221825260163214</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12.508451656524679</v>
      </c>
      <c r="J16" s="400">
        <f t="shared" si="2"/>
        <v>1.1562066968900149</v>
      </c>
      <c r="K16" s="400">
        <f t="shared" si="3"/>
        <v>-16.070274357533343</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12.508451656524679</v>
      </c>
      <c r="J17" s="400">
        <f t="shared" si="2"/>
        <v>1.1339539580325428</v>
      </c>
      <c r="K17" s="400">
        <f t="shared" si="3"/>
        <v>-14.372997969067336</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12.508451656524679</v>
      </c>
      <c r="J18" s="400">
        <f t="shared" si="2"/>
        <v>1.1127116750762678</v>
      </c>
      <c r="K18" s="400">
        <f t="shared" si="3"/>
        <v>-12.689459194228581</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12.508451656524679</v>
      </c>
      <c r="J19" s="400">
        <f t="shared" si="2"/>
        <v>1.1042913222059401</v>
      </c>
      <c r="K19" s="400">
        <f t="shared" si="3"/>
        <v>-12.004185615586206</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12.508451656524679</v>
      </c>
      <c r="J20" s="400">
        <f>I20/H20</f>
        <v>1.0839707250808159</v>
      </c>
      <c r="K20" s="400">
        <f t="shared" si="3"/>
        <v>-10.30658605974396</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12.508451656524679</v>
      </c>
      <c r="J21" s="400">
        <f t="shared" si="2"/>
        <v>1.0168722661478384</v>
      </c>
      <c r="K21" s="400">
        <f t="shared" si="3"/>
        <v>-4.2192316173352618</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12.508451656524679</v>
      </c>
      <c r="J22" s="400">
        <f>I22/H22</f>
        <v>1.0194948601570817</v>
      </c>
      <c r="K22" s="400">
        <f t="shared" ref="K22" si="14">(1/J22-1.0256)*100</f>
        <v>-4.4722077922078052</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12.508451656524679</v>
      </c>
      <c r="J23" s="400">
        <f t="shared" ref="J23" si="15">I23/H23</f>
        <v>1.0057167560077915</v>
      </c>
      <c r="K23" s="400">
        <f t="shared" ref="K23" si="16">(1/J23-1.0256)*100</f>
        <v>-3.1284260477556725</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12.508451656524679</v>
      </c>
      <c r="J24" s="400">
        <f t="shared" ref="J24:J25" si="18">I24/H24</f>
        <v>0.99608243470545033</v>
      </c>
      <c r="K24" s="400">
        <f t="shared" ref="K24:K25" si="19">(1/J24-1.0256)*100</f>
        <v>-2.1667027027027164</v>
      </c>
      <c r="L24" s="400"/>
      <c r="M24" s="400"/>
      <c r="N24" s="400">
        <f t="shared" ref="N24:N25" si="20">H24/H23</f>
        <v>1.0096722128276363</v>
      </c>
      <c r="O24" s="40"/>
      <c r="P24" s="40"/>
      <c r="R24" s="352"/>
      <c r="T24" s="353"/>
      <c r="W24" s="353"/>
      <c r="Z24" s="353"/>
    </row>
    <row r="25" spans="1:26">
      <c r="A25" s="403" t="s">
        <v>7054</v>
      </c>
      <c r="B25" s="389" t="s">
        <v>4354</v>
      </c>
      <c r="C25" s="388">
        <v>18890</v>
      </c>
      <c r="D25" s="389">
        <v>403</v>
      </c>
      <c r="E25" s="394" t="s">
        <v>4216</v>
      </c>
      <c r="F25" s="391">
        <v>1504.9</v>
      </c>
      <c r="G25" s="394">
        <f t="shared" si="0"/>
        <v>4995.2083203726907</v>
      </c>
      <c r="H25" s="394">
        <f t="shared" si="1"/>
        <v>12.552329058409196</v>
      </c>
      <c r="I25" s="393">
        <f t="shared" si="12"/>
        <v>12.508451656524679</v>
      </c>
      <c r="J25" s="400">
        <f t="shared" si="18"/>
        <v>0.99650444139248229</v>
      </c>
      <c r="K25" s="400">
        <f t="shared" si="19"/>
        <v>-2.2092179600691875</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3.215217391304348</v>
      </c>
      <c r="J26" s="400">
        <f t="shared" ref="J26:J27" si="24">I26/H26</f>
        <v>1.1938542431896084</v>
      </c>
      <c r="K26" s="400">
        <f>(1/J26-1.0256)*100</f>
        <v>-18.797680964444208</v>
      </c>
      <c r="L26" s="400"/>
      <c r="M26" s="400"/>
      <c r="N26" s="400">
        <f>1</f>
        <v>1</v>
      </c>
      <c r="O26" s="405">
        <f t="shared" ref="O26:O28" si="25">F26-C26</f>
        <v>-757.56700000000001</v>
      </c>
      <c r="P26" s="405">
        <f>R32-R31</f>
        <v>-1019</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3.215217391304348</v>
      </c>
      <c r="J27" s="400">
        <f t="shared" si="24"/>
        <v>1.1828404205856256</v>
      </c>
      <c r="K27" s="400">
        <f>(1/J27-1.0256)*100</f>
        <v>-18.017742008436034</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3.215217391304348</v>
      </c>
      <c r="J28" s="400">
        <f t="shared" ref="J28" si="26">I28/H28</f>
        <v>1.1573668963509316</v>
      </c>
      <c r="K28" s="400">
        <f t="shared" ref="K28" si="27">(1/J28-1.0256)*100</f>
        <v>-16.156975759985414</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3.215217391304348</v>
      </c>
      <c r="J29" s="400">
        <f t="shared" ref="J29" si="29">I29/H29</f>
        <v>1.1370929954093345</v>
      </c>
      <c r="K29" s="400">
        <f t="shared" ref="K29" si="30">(1/J29-1.0256)*100</f>
        <v>-14.616445335852536</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9">
        <f t="shared" si="22"/>
        <v>2.8314840241956429</v>
      </c>
      <c r="I30" s="397">
        <f t="shared" si="23"/>
        <v>3.215217391304348</v>
      </c>
      <c r="J30" s="400">
        <f t="shared" ref="J30" si="33">I30/H30</f>
        <v>1.1355237620377232</v>
      </c>
      <c r="K30" s="400">
        <f t="shared" ref="K30:K31" si="34">(1/J30-1.0256)*100</f>
        <v>-14.494912026369466</v>
      </c>
      <c r="L30" s="400"/>
      <c r="M30" s="400"/>
      <c r="N30" s="400">
        <f t="shared" ref="N30:N31" si="35">H30/H29</f>
        <v>1.0013819467492211</v>
      </c>
      <c r="O30" s="405">
        <f>F30-C30</f>
        <v>-987.06</v>
      </c>
      <c r="P30" s="40"/>
      <c r="Q30" s="67" t="s">
        <v>5857</v>
      </c>
      <c r="R30" s="302">
        <v>3110</v>
      </c>
      <c r="S30" s="352" t="s">
        <v>25</v>
      </c>
      <c r="T30" s="353"/>
      <c r="W30" s="353"/>
      <c r="Y30" s="353"/>
    </row>
    <row r="31" spans="1:26" ht="21">
      <c r="A31" s="404" t="s">
        <v>6985</v>
      </c>
      <c r="B31" s="394" t="s">
        <v>4216</v>
      </c>
      <c r="C31" s="391">
        <v>1470</v>
      </c>
      <c r="D31" s="394">
        <v>100000</v>
      </c>
      <c r="E31" s="396" t="s">
        <v>5267</v>
      </c>
      <c r="F31" s="395">
        <v>517.66700000000003</v>
      </c>
      <c r="G31" s="396">
        <f t="shared" si="21"/>
        <v>280408.45013521047</v>
      </c>
      <c r="H31" s="419">
        <f t="shared" si="22"/>
        <v>2.8396633356964998</v>
      </c>
      <c r="I31" s="397">
        <f t="shared" si="23"/>
        <v>3.215217391304348</v>
      </c>
      <c r="J31" s="400">
        <f>I31/H31</f>
        <v>1.1322530212954749</v>
      </c>
      <c r="K31" s="400">
        <f t="shared" si="34"/>
        <v>-14.240518294767435</v>
      </c>
      <c r="L31" s="400"/>
      <c r="M31" s="400"/>
      <c r="N31" s="400">
        <f t="shared" si="35"/>
        <v>1.0028887012714756</v>
      </c>
      <c r="O31" s="405">
        <f>F31-C31</f>
        <v>-952.33299999999997</v>
      </c>
      <c r="P31" s="40"/>
      <c r="Q31" s="97" t="s">
        <v>4216</v>
      </c>
      <c r="R31" s="278">
        <v>1479</v>
      </c>
      <c r="S31" s="352" t="s">
        <v>25</v>
      </c>
      <c r="T31" s="353" t="s">
        <v>25</v>
      </c>
      <c r="U31" t="s">
        <v>25</v>
      </c>
      <c r="W31" s="353"/>
      <c r="Y31" s="353"/>
    </row>
    <row r="32" spans="1:26" ht="21">
      <c r="A32" s="404" t="s">
        <v>6993</v>
      </c>
      <c r="B32" s="394" t="s">
        <v>4216</v>
      </c>
      <c r="C32" s="391">
        <v>1476.58</v>
      </c>
      <c r="D32" s="394">
        <v>140000</v>
      </c>
      <c r="E32" s="396" t="s">
        <v>5267</v>
      </c>
      <c r="F32" s="395">
        <v>512.29600000000005</v>
      </c>
      <c r="G32" s="396">
        <f t="shared" si="21"/>
        <v>398463.27060757863</v>
      </c>
      <c r="H32" s="419">
        <f t="shared" si="22"/>
        <v>2.8822789949560406</v>
      </c>
      <c r="I32" s="397">
        <f t="shared" si="23"/>
        <v>3.215217391304348</v>
      </c>
      <c r="J32" s="400">
        <f t="shared" ref="J32:J33" si="36">I32/H32</f>
        <v>1.1155122029931683</v>
      </c>
      <c r="K32" s="400">
        <f t="shared" ref="K32:K33" si="37">(1/J32-1.0256)*100</f>
        <v>-12.915081968912878</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6993</v>
      </c>
      <c r="B33" s="394" t="s">
        <v>4216</v>
      </c>
      <c r="C33" s="391">
        <v>1500</v>
      </c>
      <c r="D33" s="394">
        <v>477049</v>
      </c>
      <c r="E33" s="396" t="s">
        <v>5267</v>
      </c>
      <c r="F33" s="395">
        <v>510.99</v>
      </c>
      <c r="G33" s="396">
        <f t="shared" si="21"/>
        <v>1382821.3959883661</v>
      </c>
      <c r="H33" s="419">
        <f t="shared" si="22"/>
        <v>2.9354781893970525</v>
      </c>
      <c r="I33" s="397">
        <f t="shared" si="23"/>
        <v>3.215217391304348</v>
      </c>
      <c r="J33" s="400">
        <f t="shared" si="36"/>
        <v>1.0952959565217393</v>
      </c>
      <c r="K33" s="400">
        <f t="shared" si="37"/>
        <v>-11.260475515710343</v>
      </c>
      <c r="L33" s="400"/>
      <c r="M33" s="400"/>
      <c r="N33" s="400">
        <f t="shared" si="38"/>
        <v>1.0184573368969867</v>
      </c>
      <c r="O33" s="405">
        <f t="shared" si="39"/>
        <v>-989.01</v>
      </c>
      <c r="P33" s="40"/>
      <c r="Q33" s="97" t="s">
        <v>5800</v>
      </c>
      <c r="R33" s="346">
        <v>1285</v>
      </c>
      <c r="S33" t="s">
        <v>25</v>
      </c>
      <c r="T33" s="353"/>
      <c r="U33" t="s">
        <v>25</v>
      </c>
      <c r="W33" s="353"/>
      <c r="Y33" s="353"/>
    </row>
    <row r="34" spans="1:25" ht="21">
      <c r="A34" s="404" t="s">
        <v>6993</v>
      </c>
      <c r="B34" s="394" t="s">
        <v>4216</v>
      </c>
      <c r="C34" s="391">
        <v>1521</v>
      </c>
      <c r="D34" s="394">
        <v>80000</v>
      </c>
      <c r="E34" s="396" t="s">
        <v>5267</v>
      </c>
      <c r="F34" s="395">
        <v>508.26659999999998</v>
      </c>
      <c r="G34" s="396">
        <f t="shared" si="21"/>
        <v>236402.39514078898</v>
      </c>
      <c r="H34" s="419">
        <f t="shared" si="22"/>
        <v>2.9925240021673667</v>
      </c>
      <c r="I34" s="397">
        <f t="shared" si="23"/>
        <v>3.215217391304348</v>
      </c>
      <c r="J34" s="400">
        <f t="shared" ref="J34" si="40">I34/H34</f>
        <v>1.0744165757653716</v>
      </c>
      <c r="K34" s="400">
        <f t="shared" ref="K34" si="41">(1/J34-1.0256)*100</f>
        <v>-9.4862311699128732</v>
      </c>
      <c r="L34" s="400"/>
      <c r="M34" s="400"/>
      <c r="N34" s="400">
        <f t="shared" ref="N34" si="42">H34/H33</f>
        <v>1.0194332265783352</v>
      </c>
      <c r="O34" s="405">
        <f t="shared" si="39"/>
        <v>-1012.7334000000001</v>
      </c>
      <c r="P34" s="40"/>
      <c r="Q34" s="97" t="s">
        <v>4358</v>
      </c>
      <c r="R34" s="277">
        <v>26000</v>
      </c>
      <c r="S34" t="s">
        <v>25</v>
      </c>
      <c r="T34" s="353"/>
      <c r="W34" s="353"/>
      <c r="Y34" s="353"/>
    </row>
    <row r="35" spans="1:25" ht="21">
      <c r="A35" s="404" t="s">
        <v>6996</v>
      </c>
      <c r="B35" s="394" t="s">
        <v>4216</v>
      </c>
      <c r="C35" s="391">
        <v>1538.5</v>
      </c>
      <c r="D35" s="394">
        <v>230485</v>
      </c>
      <c r="E35" s="396" t="s">
        <v>5267</v>
      </c>
      <c r="F35" s="395">
        <v>513.55700000000002</v>
      </c>
      <c r="G35" s="396">
        <f t="shared" si="21"/>
        <v>681829.45212567016</v>
      </c>
      <c r="H35" s="419">
        <f t="shared" si="22"/>
        <v>2.995772621150135</v>
      </c>
      <c r="I35" s="397">
        <f t="shared" si="23"/>
        <v>3.215217391304348</v>
      </c>
      <c r="J35" s="400">
        <f t="shared" ref="J35" si="43">I35/H35</f>
        <v>1.0732514773000241</v>
      </c>
      <c r="K35" s="400">
        <f t="shared" ref="K35" si="44">(1/J35-1.0256)*100</f>
        <v>-9.385192310408252</v>
      </c>
      <c r="L35" s="400"/>
      <c r="M35" s="400"/>
      <c r="N35" s="400">
        <f t="shared" ref="N35" si="45">H35/H34</f>
        <v>1.0010855782544821</v>
      </c>
      <c r="O35" s="405">
        <f t="shared" si="39"/>
        <v>-1024.943</v>
      </c>
      <c r="P35" s="40"/>
      <c r="Q35" s="97" t="s">
        <v>4354</v>
      </c>
      <c r="R35" s="287">
        <v>18500</v>
      </c>
      <c r="S35" t="s">
        <v>25</v>
      </c>
      <c r="T35" s="353" t="s">
        <v>25</v>
      </c>
      <c r="W35" s="353"/>
      <c r="Y35" s="353"/>
    </row>
    <row r="36" spans="1:25" ht="21">
      <c r="A36" s="404" t="s">
        <v>6998</v>
      </c>
      <c r="B36" s="394" t="s">
        <v>4216</v>
      </c>
      <c r="C36" s="391">
        <v>1590</v>
      </c>
      <c r="D36" s="394">
        <v>87047</v>
      </c>
      <c r="E36" s="396" t="s">
        <v>5267</v>
      </c>
      <c r="F36" s="395">
        <v>508.11</v>
      </c>
      <c r="G36" s="396">
        <f t="shared" si="21"/>
        <v>268978.4168581767</v>
      </c>
      <c r="H36" s="419">
        <f t="shared" si="22"/>
        <v>3.1292436677097477</v>
      </c>
      <c r="I36" s="397">
        <f t="shared" si="23"/>
        <v>3.215217391304348</v>
      </c>
      <c r="J36" s="400">
        <f t="shared" ref="J36" si="46">I36/H36</f>
        <v>1.0274742821985234</v>
      </c>
      <c r="K36" s="400">
        <f t="shared" ref="K36" si="47">(1/J36-1.0256)*100</f>
        <v>-5.2339630056468023</v>
      </c>
      <c r="L36" s="400"/>
      <c r="M36" s="400"/>
      <c r="N36" s="400">
        <f t="shared" ref="N36" si="48">H36/H35</f>
        <v>1.0445531298394637</v>
      </c>
      <c r="O36" s="405">
        <f t="shared" si="39"/>
        <v>-1081.8899999999999</v>
      </c>
      <c r="P36" s="40"/>
      <c r="Q36" s="97" t="s">
        <v>4656</v>
      </c>
      <c r="R36" s="447">
        <v>800</v>
      </c>
      <c r="S36" t="s">
        <v>25</v>
      </c>
      <c r="T36" s="353" t="s">
        <v>25</v>
      </c>
    </row>
    <row r="37" spans="1:25" ht="21">
      <c r="A37" s="404" t="s">
        <v>7026</v>
      </c>
      <c r="B37" s="394" t="s">
        <v>4216</v>
      </c>
      <c r="C37" s="391">
        <v>1600</v>
      </c>
      <c r="D37" s="394">
        <v>45761</v>
      </c>
      <c r="E37" s="396" t="s">
        <v>5267</v>
      </c>
      <c r="F37" s="395">
        <v>500</v>
      </c>
      <c r="G37" s="396">
        <f t="shared" si="21"/>
        <v>144600.47767306244</v>
      </c>
      <c r="H37" s="419">
        <f t="shared" si="22"/>
        <v>3.2</v>
      </c>
      <c r="I37" s="397">
        <f t="shared" si="23"/>
        <v>3.215217391304348</v>
      </c>
      <c r="J37" s="400">
        <f t="shared" ref="J37:J38" si="49">I37/H37</f>
        <v>1.0047554347826086</v>
      </c>
      <c r="K37" s="400">
        <f t="shared" ref="K37:K38" si="50">(1/J37-1.0256)*100</f>
        <v>-3.0332927653820119</v>
      </c>
      <c r="L37" s="400"/>
      <c r="M37" s="400"/>
      <c r="N37" s="400">
        <f t="shared" ref="N37:N38" si="51">H37/H36</f>
        <v>1.0226113207547172</v>
      </c>
      <c r="O37" s="405">
        <f t="shared" ref="O37:O38" si="52">F37-C37</f>
        <v>-1100</v>
      </c>
      <c r="P37" s="40"/>
      <c r="Q37" s="67" t="s">
        <v>1068</v>
      </c>
      <c r="R37" s="347">
        <v>115000</v>
      </c>
    </row>
    <row r="38" spans="1:25" ht="18.75">
      <c r="A38" s="404" t="s">
        <v>7029</v>
      </c>
      <c r="B38" s="394" t="s">
        <v>4216</v>
      </c>
      <c r="C38" s="391">
        <v>1615</v>
      </c>
      <c r="D38" s="394">
        <v>20000</v>
      </c>
      <c r="E38" s="396" t="s">
        <v>5267</v>
      </c>
      <c r="F38" s="395">
        <v>500</v>
      </c>
      <c r="G38" s="396">
        <f t="shared" si="21"/>
        <v>63790.610848210221</v>
      </c>
      <c r="H38" s="419">
        <f t="shared" si="22"/>
        <v>3.23</v>
      </c>
      <c r="I38" s="397">
        <f t="shared" si="23"/>
        <v>3.215217391304348</v>
      </c>
      <c r="J38" s="400">
        <f t="shared" si="49"/>
        <v>0.99542334096109841</v>
      </c>
      <c r="K38" s="400">
        <f t="shared" si="50"/>
        <v>-2.1002298850574697</v>
      </c>
      <c r="L38" s="400"/>
      <c r="M38" s="400"/>
      <c r="N38" s="400">
        <f t="shared" si="51"/>
        <v>1.0093749999999999</v>
      </c>
      <c r="O38" s="405">
        <f t="shared" si="52"/>
        <v>-1115</v>
      </c>
      <c r="P38" s="40"/>
      <c r="Q38" t="s">
        <v>25</v>
      </c>
      <c r="S38" t="s">
        <v>25</v>
      </c>
    </row>
    <row r="39" spans="1:25" ht="18.75">
      <c r="A39" s="404" t="s">
        <v>7031</v>
      </c>
      <c r="B39" s="394" t="s">
        <v>4216</v>
      </c>
      <c r="C39" s="391">
        <v>1655</v>
      </c>
      <c r="D39" s="394">
        <v>364549</v>
      </c>
      <c r="E39" s="396" t="s">
        <v>5267</v>
      </c>
      <c r="F39" s="395">
        <v>510.65600000000001</v>
      </c>
      <c r="G39" s="396">
        <f t="shared" si="21"/>
        <v>1166674.5204602738</v>
      </c>
      <c r="H39" s="419">
        <f t="shared" si="22"/>
        <v>3.2409293144504323</v>
      </c>
      <c r="I39" s="397">
        <f t="shared" si="23"/>
        <v>3.215217391304348</v>
      </c>
      <c r="J39" s="400">
        <f t="shared" ref="J39" si="53">I39/H39</f>
        <v>0.99206649678182068</v>
      </c>
      <c r="K39" s="400">
        <f t="shared" ref="K39" si="54">(1/J39-1.0256)*100</f>
        <v>-1.7603052976877143</v>
      </c>
      <c r="L39" s="400"/>
      <c r="M39" s="400"/>
      <c r="N39" s="400">
        <f t="shared" ref="N39" si="55">H39/H38</f>
        <v>1.0033836886843444</v>
      </c>
      <c r="O39" s="405">
        <f t="shared" ref="O39" si="56">F39-C39</f>
        <v>-1144.3440000000001</v>
      </c>
      <c r="P39" s="40"/>
      <c r="Q39" t="s">
        <v>25</v>
      </c>
      <c r="R39" t="s">
        <v>25</v>
      </c>
    </row>
    <row r="40" spans="1:25" ht="18.75">
      <c r="A40" s="404" t="s">
        <v>7043</v>
      </c>
      <c r="B40" s="394" t="s">
        <v>4216</v>
      </c>
      <c r="C40" s="391">
        <v>1522</v>
      </c>
      <c r="D40" s="394">
        <v>53176</v>
      </c>
      <c r="E40" s="396" t="s">
        <v>5267</v>
      </c>
      <c r="F40" s="395">
        <v>463.613</v>
      </c>
      <c r="G40" s="396">
        <f t="shared" si="21"/>
        <v>172384.79460916802</v>
      </c>
      <c r="H40" s="419">
        <f t="shared" si="22"/>
        <v>3.2829105309816593</v>
      </c>
      <c r="I40" s="397">
        <f t="shared" si="23"/>
        <v>3.215217391304348</v>
      </c>
      <c r="J40" s="400">
        <f t="shared" ref="J40" si="57">I40/H40</f>
        <v>0.9793801448323145</v>
      </c>
      <c r="K40" s="400">
        <f t="shared" ref="K40:K41" si="58">(1/J40-1.0256)*100</f>
        <v>-0.45460147048255184</v>
      </c>
      <c r="L40" s="400"/>
      <c r="M40" s="400"/>
      <c r="N40" s="400">
        <f t="shared" ref="N40" si="59">H40/H39</f>
        <v>1.0129534502169004</v>
      </c>
      <c r="O40" s="405">
        <f>F40-C40</f>
        <v>-1058.3869999999999</v>
      </c>
      <c r="P40" s="40"/>
      <c r="R40" t="s">
        <v>25</v>
      </c>
    </row>
    <row r="41" spans="1:25" ht="18.75" customHeight="1">
      <c r="A41" s="404" t="s">
        <v>7043</v>
      </c>
      <c r="B41" s="394" t="s">
        <v>4216</v>
      </c>
      <c r="C41" s="391">
        <v>1534</v>
      </c>
      <c r="D41" s="394">
        <v>54020</v>
      </c>
      <c r="E41" s="396" t="s">
        <v>5267</v>
      </c>
      <c r="F41" s="395">
        <v>463.83</v>
      </c>
      <c r="G41" s="396">
        <f t="shared" si="21"/>
        <v>176418.99652980731</v>
      </c>
      <c r="H41" s="419">
        <f t="shared" si="22"/>
        <v>3.3072461893366105</v>
      </c>
      <c r="I41" s="397">
        <f t="shared" si="23"/>
        <v>3.215217391304348</v>
      </c>
      <c r="J41" s="400">
        <f>I41/H41</f>
        <v>0.97217358709823709</v>
      </c>
      <c r="K41" s="400">
        <f t="shared" si="58"/>
        <v>0.30228851215960972</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7056</v>
      </c>
      <c r="F42" s="395">
        <v>394</v>
      </c>
      <c r="G42" s="396">
        <f t="shared" si="0"/>
        <v>260156.73964975364</v>
      </c>
      <c r="H42" s="396">
        <f t="shared" si="1"/>
        <v>29.502538071065988</v>
      </c>
      <c r="I42" s="396">
        <f>$R$35/$R$32</f>
        <v>40.217391304347828</v>
      </c>
      <c r="J42" s="32">
        <f t="shared" si="2"/>
        <v>1.3631841168197734</v>
      </c>
      <c r="K42" s="32">
        <f t="shared" si="3"/>
        <v>-29.202337769241339</v>
      </c>
      <c r="L42" s="32"/>
      <c r="M42" s="32"/>
      <c r="N42" s="400">
        <v>1</v>
      </c>
      <c r="O42" s="40"/>
      <c r="P42" s="405" t="s">
        <v>25</v>
      </c>
      <c r="Q42" s="450">
        <f t="shared" ref="Q42:Q45" si="60">F40/3</f>
        <v>154.53766666666667</v>
      </c>
      <c r="R42" t="s">
        <v>25</v>
      </c>
    </row>
    <row r="43" spans="1:25" ht="21">
      <c r="A43" s="389" t="s">
        <v>5770</v>
      </c>
      <c r="B43" s="389" t="s">
        <v>4354</v>
      </c>
      <c r="C43" s="388">
        <v>11612</v>
      </c>
      <c r="D43" s="389">
        <v>352</v>
      </c>
      <c r="E43" s="396" t="s">
        <v>7056</v>
      </c>
      <c r="F43" s="395">
        <v>389</v>
      </c>
      <c r="G43" s="396">
        <f t="shared" si="0"/>
        <v>10375.865470549827</v>
      </c>
      <c r="H43" s="396">
        <f t="shared" ref="H43:H49" si="61">C43/F43</f>
        <v>29.85089974293059</v>
      </c>
      <c r="I43" s="396">
        <f>$R$35/$R$32</f>
        <v>40.217391304347828</v>
      </c>
      <c r="J43" s="32">
        <f t="shared" ref="J43" si="62">I43/H43</f>
        <v>1.3472756818283935</v>
      </c>
      <c r="K43" s="406">
        <f t="shared" si="3"/>
        <v>-28.33614117974016</v>
      </c>
      <c r="L43" s="32" t="s">
        <v>25</v>
      </c>
      <c r="M43" s="32" t="s">
        <v>25</v>
      </c>
      <c r="N43" s="32">
        <f>H43/H42</f>
        <v>1.0118078543285145</v>
      </c>
      <c r="O43" s="40"/>
      <c r="P43" s="40" t="s">
        <v>25</v>
      </c>
      <c r="Q43" s="450">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C44/F44</f>
        <v>1.9293242405455673</v>
      </c>
      <c r="I44" s="394">
        <f>$R$30/$R$31</f>
        <v>2.1027721433400948</v>
      </c>
      <c r="J44" s="32">
        <f t="shared" ref="J44:J49" si="63">I44/H44</f>
        <v>1.0899008570718423</v>
      </c>
      <c r="K44" s="406">
        <f t="shared" ref="K44:K49" si="64">(1/J44-1.0256)*100</f>
        <v>-10.808535312961631</v>
      </c>
      <c r="L44" s="32" t="s">
        <v>25</v>
      </c>
      <c r="M44" s="32" t="s">
        <v>25</v>
      </c>
      <c r="N44" s="32">
        <v>1</v>
      </c>
      <c r="O44" s="40"/>
      <c r="P44" s="40"/>
      <c r="Q44" s="450">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C45/F45</f>
        <v>5.5921168396973435</v>
      </c>
      <c r="I45" s="396">
        <f>$R$30/$R$32</f>
        <v>6.7608695652173916</v>
      </c>
      <c r="J45" s="32">
        <f t="shared" si="63"/>
        <v>1.2090000547240538</v>
      </c>
      <c r="K45" s="406">
        <f t="shared" si="64"/>
        <v>-19.847017805119684</v>
      </c>
      <c r="L45" s="32" t="s">
        <v>25</v>
      </c>
      <c r="M45" s="32" t="s">
        <v>25</v>
      </c>
      <c r="N45" s="32">
        <v>1</v>
      </c>
      <c r="O45" s="40"/>
      <c r="P45" s="40"/>
      <c r="Q45" s="450">
        <f t="shared" si="60"/>
        <v>129.66666666666666</v>
      </c>
    </row>
    <row r="46" spans="1:25" ht="21">
      <c r="A46" s="394" t="s">
        <v>7043</v>
      </c>
      <c r="B46" s="394" t="s">
        <v>4216</v>
      </c>
      <c r="C46" s="391">
        <v>1535</v>
      </c>
      <c r="D46" s="394">
        <v>47912</v>
      </c>
      <c r="E46" s="446" t="s">
        <v>4656</v>
      </c>
      <c r="F46" s="446">
        <v>808</v>
      </c>
      <c r="G46" s="446">
        <f t="shared" si="0"/>
        <v>89880.517035196666</v>
      </c>
      <c r="H46" s="446">
        <f>C46/F46</f>
        <v>1.8997524752475248</v>
      </c>
      <c r="I46" s="446">
        <f>$R$31/$R$36</f>
        <v>1.8487499999999999</v>
      </c>
      <c r="J46" s="32">
        <f t="shared" si="63"/>
        <v>0.97315309446254061</v>
      </c>
      <c r="K46" s="406">
        <f t="shared" si="64"/>
        <v>0.19875457728328882</v>
      </c>
      <c r="L46" s="32" t="s">
        <v>25</v>
      </c>
      <c r="M46" s="32" t="s">
        <v>25</v>
      </c>
      <c r="N46" s="32">
        <v>1</v>
      </c>
      <c r="O46" s="40"/>
      <c r="P46" s="40"/>
      <c r="Q46" s="450"/>
      <c r="R46" t="s">
        <v>25</v>
      </c>
    </row>
    <row r="47" spans="1:25" ht="21">
      <c r="A47" s="394" t="s">
        <v>7059</v>
      </c>
      <c r="B47" s="394" t="s">
        <v>4216</v>
      </c>
      <c r="C47" s="391">
        <v>1490</v>
      </c>
      <c r="D47" s="394">
        <v>65000</v>
      </c>
      <c r="E47" s="446" t="s">
        <v>4656</v>
      </c>
      <c r="F47" s="446">
        <v>784.34</v>
      </c>
      <c r="G47" s="446">
        <f t="shared" ref="G47" si="65">C47*D47*0.99114/(F47*1.0037158)</f>
        <v>121932.50724750379</v>
      </c>
      <c r="H47" s="446">
        <f>C47/F47</f>
        <v>1.899686360506923</v>
      </c>
      <c r="I47" s="446">
        <f>$R$31/$R$36</f>
        <v>1.8487499999999999</v>
      </c>
      <c r="J47" s="32">
        <f t="shared" si="63"/>
        <v>0.97318696308724828</v>
      </c>
      <c r="K47" s="406">
        <f t="shared" si="64"/>
        <v>0.19517839117906277</v>
      </c>
      <c r="L47" s="32" t="s">
        <v>25</v>
      </c>
      <c r="M47" s="32" t="s">
        <v>25</v>
      </c>
      <c r="N47" s="32">
        <f>H47/H46</f>
        <v>0.999965198234263</v>
      </c>
      <c r="O47" s="40"/>
      <c r="P47" s="40"/>
      <c r="Q47" s="450"/>
      <c r="R47" t="s">
        <v>25</v>
      </c>
      <c r="S47" t="s">
        <v>25</v>
      </c>
    </row>
    <row r="48" spans="1:25" ht="21">
      <c r="A48" s="394" t="s">
        <v>7062</v>
      </c>
      <c r="B48" s="394" t="s">
        <v>4216</v>
      </c>
      <c r="C48" s="391">
        <v>1505</v>
      </c>
      <c r="D48" s="394">
        <v>27000</v>
      </c>
      <c r="E48" s="446" t="s">
        <v>4656</v>
      </c>
      <c r="F48" s="446">
        <v>791.57</v>
      </c>
      <c r="G48" s="446">
        <f t="shared" ref="G48" si="66">C48*D48*0.99114/(F48*1.0037158)</f>
        <v>50691.504449049477</v>
      </c>
      <c r="H48" s="446">
        <f>C48/F48</f>
        <v>1.9012847884583801</v>
      </c>
      <c r="I48" s="446">
        <f>$R$31/$R$36</f>
        <v>1.8487499999999999</v>
      </c>
      <c r="J48" s="32">
        <f t="shared" ref="J48" si="67">I48/H48</f>
        <v>0.97236879568106305</v>
      </c>
      <c r="K48" s="406">
        <f t="shared" ref="K48" si="68">(1/J48-1.0256)*100</f>
        <v>0.28163832094010299</v>
      </c>
      <c r="L48" s="32" t="s">
        <v>25</v>
      </c>
      <c r="M48" s="32" t="s">
        <v>25</v>
      </c>
      <c r="N48" s="32">
        <f>H48/H47</f>
        <v>1.0008414167647288</v>
      </c>
      <c r="O48" s="40"/>
      <c r="P48" s="40"/>
      <c r="Q48" s="450"/>
      <c r="R48" t="s">
        <v>25</v>
      </c>
    </row>
    <row r="49" spans="1:19">
      <c r="A49" s="394" t="s">
        <v>6996</v>
      </c>
      <c r="B49" s="394" t="s">
        <v>4216</v>
      </c>
      <c r="C49" s="391">
        <v>1538.5</v>
      </c>
      <c r="D49" s="394">
        <v>1</v>
      </c>
      <c r="E49" s="408" t="s">
        <v>5800</v>
      </c>
      <c r="F49" s="408">
        <v>1353</v>
      </c>
      <c r="G49" s="408">
        <f>C49*D49*0.99114/(F49*1.0037158)</f>
        <v>1.1228556972348047</v>
      </c>
      <c r="H49" s="408">
        <f t="shared" si="61"/>
        <v>1.1371027346637104</v>
      </c>
      <c r="I49" s="408">
        <f>$R$31/$R$33</f>
        <v>1.1509727626459143</v>
      </c>
      <c r="J49" s="32">
        <f t="shared" si="63"/>
        <v>1.0121976911666701</v>
      </c>
      <c r="K49" s="32">
        <f t="shared" si="64"/>
        <v>-3.7650700444308516</v>
      </c>
      <c r="L49" s="32"/>
      <c r="M49" s="32"/>
      <c r="N49" s="32">
        <v>1</v>
      </c>
      <c r="O49" s="405">
        <f>F49-C49</f>
        <v>-185.5</v>
      </c>
      <c r="P49" s="405">
        <f>R33-R31</f>
        <v>-194</v>
      </c>
      <c r="Q49" s="450"/>
    </row>
    <row r="50" spans="1:19">
      <c r="A50" s="94"/>
      <c r="B50" s="113"/>
      <c r="C50" s="113"/>
      <c r="D50" s="94"/>
      <c r="E50" s="94"/>
      <c r="F50" s="94"/>
      <c r="G50" s="94"/>
      <c r="H50" s="94"/>
      <c r="I50" s="94"/>
      <c r="J50" s="94"/>
      <c r="K50" s="94"/>
      <c r="L50" s="94"/>
      <c r="M50" s="94"/>
      <c r="N50" s="94"/>
      <c r="Q50" s="450"/>
    </row>
    <row r="51" spans="1:19">
      <c r="A51" s="94"/>
      <c r="B51" s="94"/>
      <c r="C51" s="94"/>
      <c r="D51" s="94"/>
      <c r="E51" s="94"/>
      <c r="F51" s="94" t="s">
        <v>25</v>
      </c>
      <c r="G51" s="94"/>
      <c r="H51" s="94"/>
      <c r="I51" s="94"/>
      <c r="J51" s="94"/>
      <c r="K51" s="94"/>
      <c r="L51" s="94"/>
      <c r="M51" s="94"/>
      <c r="N51" s="94"/>
      <c r="Q51" s="450"/>
    </row>
    <row r="52" spans="1:19">
      <c r="A52" s="113"/>
      <c r="B52" s="113"/>
      <c r="C52" s="113"/>
      <c r="D52" s="113"/>
      <c r="E52" s="113"/>
      <c r="F52" s="113"/>
      <c r="G52" s="113"/>
      <c r="H52" s="113"/>
      <c r="I52" s="113"/>
      <c r="J52" s="113"/>
      <c r="K52" s="113"/>
      <c r="L52" s="113"/>
      <c r="M52" s="113"/>
      <c r="N52" s="113"/>
      <c r="Q52" s="450"/>
    </row>
    <row r="53" spans="1:19" ht="25.5" customHeight="1">
      <c r="A53" s="97" t="s">
        <v>5516</v>
      </c>
      <c r="B53" s="97"/>
      <c r="C53" s="97" t="s">
        <v>933</v>
      </c>
      <c r="D53" s="97" t="s">
        <v>6497</v>
      </c>
      <c r="E53" s="97"/>
      <c r="F53" s="97" t="s">
        <v>933</v>
      </c>
      <c r="G53" s="97" t="s">
        <v>6498</v>
      </c>
      <c r="H53" s="97"/>
      <c r="I53" s="97"/>
      <c r="J53" s="97"/>
      <c r="K53" s="97"/>
      <c r="L53" s="97" t="s">
        <v>936</v>
      </c>
      <c r="M53" s="97" t="s">
        <v>5</v>
      </c>
      <c r="N53" s="97" t="s">
        <v>6499</v>
      </c>
      <c r="P53" t="s">
        <v>6500</v>
      </c>
      <c r="Q53" s="450"/>
    </row>
    <row r="54" spans="1:19">
      <c r="A54" s="97" t="s">
        <v>5506</v>
      </c>
      <c r="B54" s="97" t="s">
        <v>6496</v>
      </c>
      <c r="C54" s="97">
        <v>17800</v>
      </c>
      <c r="D54" s="97">
        <v>916</v>
      </c>
      <c r="E54" s="97" t="s">
        <v>4354</v>
      </c>
      <c r="F54" s="97">
        <v>16472</v>
      </c>
      <c r="G54" s="97">
        <v>916</v>
      </c>
      <c r="H54" s="97"/>
      <c r="I54" s="97"/>
      <c r="J54" s="97"/>
      <c r="K54" s="97"/>
      <c r="L54" s="93">
        <v>987467</v>
      </c>
      <c r="M54" s="93">
        <f>L54/2</f>
        <v>493733.5</v>
      </c>
      <c r="N54" s="97" t="s">
        <v>5506</v>
      </c>
      <c r="P54">
        <v>1086</v>
      </c>
      <c r="Q54" s="450"/>
    </row>
    <row r="55" spans="1:19" ht="270">
      <c r="A55" s="271" t="s">
        <v>5729</v>
      </c>
      <c r="B55" s="340" t="s">
        <v>6575</v>
      </c>
      <c r="C55" s="271">
        <v>21532</v>
      </c>
      <c r="D55" s="271">
        <v>1859</v>
      </c>
      <c r="E55" s="273" t="s">
        <v>6503</v>
      </c>
      <c r="F55" s="273">
        <v>1187</v>
      </c>
      <c r="G55" s="273">
        <f t="shared" ref="G55:G61" si="69">C55*D55*0.99114/(F55*1.0037158)</f>
        <v>33299.467209851166</v>
      </c>
      <c r="H55" s="273">
        <f t="shared" ref="H55:H61" si="70">C55/F55</f>
        <v>18.139848357203032</v>
      </c>
      <c r="I55" s="273">
        <f t="shared" ref="I55:I60" si="71">$R$34/$R$31</f>
        <v>17.579445571331981</v>
      </c>
      <c r="J55" s="97">
        <f t="shared" ref="J55:J61" si="72">I55/H55</f>
        <v>0.96910653414318515</v>
      </c>
      <c r="K55" s="97">
        <f t="shared" ref="K55:K61" si="73">(1/J55-1.0256)*100</f>
        <v>0.62782969347416895</v>
      </c>
      <c r="L55" s="93">
        <v>1600000</v>
      </c>
      <c r="M55" s="93">
        <f t="shared" ref="M55:M64" si="74">L55/2</f>
        <v>800000</v>
      </c>
      <c r="N55" s="97" t="s">
        <v>6494</v>
      </c>
    </row>
    <row r="56" spans="1:19">
      <c r="A56" s="271" t="s">
        <v>5734</v>
      </c>
      <c r="B56" s="271" t="s">
        <v>6502</v>
      </c>
      <c r="C56" s="271">
        <v>22420.1</v>
      </c>
      <c r="D56" s="286">
        <v>1000</v>
      </c>
      <c r="E56" s="273" t="s">
        <v>6504</v>
      </c>
      <c r="F56" s="273">
        <v>1161</v>
      </c>
      <c r="G56" s="273">
        <f t="shared" si="69"/>
        <v>19069.072437793271</v>
      </c>
      <c r="H56" s="273">
        <f t="shared" si="70"/>
        <v>19.311024978466836</v>
      </c>
      <c r="I56" s="273">
        <f t="shared" si="71"/>
        <v>17.579445571331981</v>
      </c>
      <c r="J56" s="97">
        <f t="shared" si="72"/>
        <v>0.91033208185139369</v>
      </c>
      <c r="K56" s="97">
        <f t="shared" si="73"/>
        <v>7.2900228582786664</v>
      </c>
      <c r="L56" s="93">
        <v>19462210</v>
      </c>
      <c r="M56" s="93">
        <f t="shared" si="74"/>
        <v>9731105</v>
      </c>
      <c r="N56" s="97" t="s">
        <v>6488</v>
      </c>
    </row>
    <row r="57" spans="1:19">
      <c r="A57" s="271" t="s">
        <v>5735</v>
      </c>
      <c r="B57" s="271" t="s">
        <v>6502</v>
      </c>
      <c r="C57" s="271">
        <v>23233.1</v>
      </c>
      <c r="D57" s="286">
        <v>1000</v>
      </c>
      <c r="E57" s="273" t="s">
        <v>6504</v>
      </c>
      <c r="F57" s="273">
        <v>1152</v>
      </c>
      <c r="G57" s="273">
        <f t="shared" si="69"/>
        <v>19914.936480069027</v>
      </c>
      <c r="H57" s="273">
        <f t="shared" si="70"/>
        <v>20.167621527777776</v>
      </c>
      <c r="I57" s="273">
        <f t="shared" si="71"/>
        <v>17.579445571331981</v>
      </c>
      <c r="J57" s="97">
        <f t="shared" si="72"/>
        <v>0.87166677275845428</v>
      </c>
      <c r="K57" s="97">
        <f t="shared" si="73"/>
        <v>12.162739383012799</v>
      </c>
      <c r="L57" s="93">
        <v>0</v>
      </c>
      <c r="M57" s="93">
        <f t="shared" si="74"/>
        <v>0</v>
      </c>
      <c r="N57" s="97" t="s">
        <v>6488</v>
      </c>
      <c r="S57" t="s">
        <v>25</v>
      </c>
    </row>
    <row r="58" spans="1:19">
      <c r="A58" s="271" t="s">
        <v>5737</v>
      </c>
      <c r="B58" s="271" t="s">
        <v>6502</v>
      </c>
      <c r="C58" s="271">
        <v>23900</v>
      </c>
      <c r="D58" s="286">
        <v>1000</v>
      </c>
      <c r="E58" s="273" t="s">
        <v>6505</v>
      </c>
      <c r="F58" s="273">
        <v>1153</v>
      </c>
      <c r="G58" s="273">
        <f t="shared" si="69"/>
        <v>20468.821398374203</v>
      </c>
      <c r="H58" s="273">
        <f t="shared" si="70"/>
        <v>20.7285342584562</v>
      </c>
      <c r="I58" s="273">
        <f t="shared" si="71"/>
        <v>17.579445571331981</v>
      </c>
      <c r="J58" s="97">
        <f t="shared" si="72"/>
        <v>0.84807952902701988</v>
      </c>
      <c r="K58" s="97">
        <f t="shared" si="73"/>
        <v>15.353469877910463</v>
      </c>
      <c r="L58" s="93">
        <v>0</v>
      </c>
      <c r="M58" s="93">
        <f t="shared" si="74"/>
        <v>0</v>
      </c>
      <c r="N58" s="97" t="s">
        <v>6488</v>
      </c>
      <c r="P58" t="s">
        <v>25</v>
      </c>
    </row>
    <row r="59" spans="1:19">
      <c r="A59" s="271" t="s">
        <v>5747</v>
      </c>
      <c r="B59" s="271" t="s">
        <v>6502</v>
      </c>
      <c r="C59" s="271">
        <v>22500</v>
      </c>
      <c r="D59" s="286">
        <v>2000</v>
      </c>
      <c r="E59" s="273" t="s">
        <v>6504</v>
      </c>
      <c r="F59" s="273">
        <v>1093</v>
      </c>
      <c r="G59" s="273">
        <f t="shared" si="69"/>
        <v>40655.246136679802</v>
      </c>
      <c r="H59" s="273">
        <f t="shared" si="70"/>
        <v>20.585544373284538</v>
      </c>
      <c r="I59" s="273">
        <f t="shared" si="71"/>
        <v>17.579445571331981</v>
      </c>
      <c r="J59" s="97">
        <f t="shared" si="72"/>
        <v>0.8539704004207046</v>
      </c>
      <c r="K59" s="97">
        <f t="shared" si="73"/>
        <v>14.540077415722429</v>
      </c>
      <c r="L59" s="93">
        <v>0</v>
      </c>
      <c r="M59" s="93">
        <f t="shared" si="74"/>
        <v>0</v>
      </c>
      <c r="N59" s="97" t="s">
        <v>6488</v>
      </c>
    </row>
    <row r="60" spans="1:19">
      <c r="A60" s="271" t="s">
        <v>6472</v>
      </c>
      <c r="B60" s="271" t="s">
        <v>6501</v>
      </c>
      <c r="C60" s="271">
        <v>23706</v>
      </c>
      <c r="D60" s="286">
        <v>1000</v>
      </c>
      <c r="E60" s="273" t="s">
        <v>4216</v>
      </c>
      <c r="F60" s="273">
        <v>1155</v>
      </c>
      <c r="G60" s="273">
        <f t="shared" si="69"/>
        <v>20267.516662882761</v>
      </c>
      <c r="H60" s="273">
        <f t="shared" si="70"/>
        <v>20.524675324675325</v>
      </c>
      <c r="I60" s="273">
        <f t="shared" si="71"/>
        <v>17.579445571331981</v>
      </c>
      <c r="J60" s="97">
        <f t="shared" si="72"/>
        <v>0.85650297962070521</v>
      </c>
      <c r="K60" s="97">
        <f t="shared" si="73"/>
        <v>14.193826173826164</v>
      </c>
      <c r="L60" s="93">
        <v>0</v>
      </c>
      <c r="M60" s="93">
        <f t="shared" si="74"/>
        <v>0</v>
      </c>
      <c r="N60" s="97" t="s">
        <v>6488</v>
      </c>
      <c r="Q60" s="94"/>
    </row>
    <row r="61" spans="1:19">
      <c r="A61" s="60" t="s">
        <v>6472</v>
      </c>
      <c r="B61" s="60" t="s">
        <v>4354</v>
      </c>
      <c r="C61" s="60">
        <v>16794</v>
      </c>
      <c r="D61" s="60">
        <v>2227</v>
      </c>
      <c r="E61" s="273" t="s">
        <v>4216</v>
      </c>
      <c r="F61" s="273">
        <v>1146.6500000000001</v>
      </c>
      <c r="G61" s="273">
        <f t="shared" si="69"/>
        <v>32208.294857700886</v>
      </c>
      <c r="H61" s="273">
        <f t="shared" si="70"/>
        <v>14.646143112545239</v>
      </c>
      <c r="I61" s="273">
        <f>$R$35/$R$31</f>
        <v>12.508451656524679</v>
      </c>
      <c r="J61" s="97">
        <f t="shared" si="72"/>
        <v>0.85404406883136985</v>
      </c>
      <c r="K61" s="97">
        <f t="shared" si="73"/>
        <v>14.529976559212997</v>
      </c>
      <c r="L61" s="93">
        <v>3219484</v>
      </c>
      <c r="M61" s="93">
        <f t="shared" si="74"/>
        <v>1609742</v>
      </c>
      <c r="N61" s="97" t="s">
        <v>6478</v>
      </c>
      <c r="P61" t="s">
        <v>25</v>
      </c>
      <c r="Q61" s="94"/>
      <c r="R61" s="94"/>
    </row>
    <row r="62" spans="1:19">
      <c r="A62" s="20" t="s">
        <v>6582</v>
      </c>
      <c r="B62" s="20" t="s">
        <v>6583</v>
      </c>
      <c r="C62" s="20">
        <v>21350</v>
      </c>
      <c r="D62" s="20">
        <v>639</v>
      </c>
      <c r="E62" s="20" t="s">
        <v>4358</v>
      </c>
      <c r="F62" s="20">
        <v>20666.599999999999</v>
      </c>
      <c r="G62" s="20">
        <v>639</v>
      </c>
      <c r="H62" s="20"/>
      <c r="I62" s="20"/>
      <c r="J62" s="20"/>
      <c r="K62" s="20"/>
      <c r="L62" s="345">
        <v>268731</v>
      </c>
      <c r="M62" s="345">
        <f t="shared" si="74"/>
        <v>134365.5</v>
      </c>
      <c r="N62" s="20" t="s">
        <v>6582</v>
      </c>
      <c r="Q62" s="94"/>
      <c r="R62" s="94"/>
    </row>
    <row r="63" spans="1:19">
      <c r="A63" s="97" t="s">
        <v>6592</v>
      </c>
      <c r="B63" s="97" t="s">
        <v>6594</v>
      </c>
      <c r="C63" s="97">
        <v>1286.5</v>
      </c>
      <c r="D63" s="97">
        <v>12000</v>
      </c>
      <c r="E63" s="97" t="s">
        <v>4216</v>
      </c>
      <c r="F63" s="97"/>
      <c r="G63" s="97"/>
      <c r="H63" s="97"/>
      <c r="I63" s="97"/>
      <c r="J63" s="97"/>
      <c r="K63" s="97"/>
      <c r="L63" s="345"/>
      <c r="M63" s="345">
        <f t="shared" si="74"/>
        <v>0</v>
      </c>
      <c r="N63" s="97"/>
      <c r="P63" t="s">
        <v>25</v>
      </c>
      <c r="Q63" s="94"/>
      <c r="R63" s="94"/>
    </row>
    <row r="64" spans="1:19" ht="30">
      <c r="A64" s="97" t="s">
        <v>6593</v>
      </c>
      <c r="B64" s="97" t="s">
        <v>6594</v>
      </c>
      <c r="C64" s="97">
        <v>1275</v>
      </c>
      <c r="D64" s="97">
        <v>9000</v>
      </c>
      <c r="E64" s="97" t="s">
        <v>4216</v>
      </c>
      <c r="F64" s="97">
        <v>1314</v>
      </c>
      <c r="G64" s="97">
        <v>9000</v>
      </c>
      <c r="H64" s="97"/>
      <c r="I64" s="97"/>
      <c r="J64" s="97"/>
      <c r="K64" s="97"/>
      <c r="L64" s="345">
        <v>191456</v>
      </c>
      <c r="M64" s="345">
        <f t="shared" si="74"/>
        <v>95728</v>
      </c>
      <c r="N64" s="36" t="s">
        <v>6608</v>
      </c>
      <c r="Q64" s="94"/>
      <c r="R64" s="94"/>
    </row>
    <row r="65" spans="1:20">
      <c r="A65" s="97" t="s">
        <v>6593</v>
      </c>
      <c r="B65" s="97" t="s">
        <v>6583</v>
      </c>
      <c r="C65" s="97">
        <v>19703</v>
      </c>
      <c r="D65" s="97">
        <v>210</v>
      </c>
      <c r="E65" s="97" t="s">
        <v>4358</v>
      </c>
      <c r="F65" s="97">
        <v>20548.900000000001</v>
      </c>
      <c r="G65" s="97">
        <v>210</v>
      </c>
      <c r="H65" s="97"/>
      <c r="I65" s="97"/>
      <c r="J65" s="97"/>
      <c r="K65" s="97"/>
      <c r="L65" s="345">
        <v>124637</v>
      </c>
      <c r="M65" s="345">
        <f>L65/2</f>
        <v>62318.5</v>
      </c>
      <c r="N65" s="97" t="s">
        <v>6595</v>
      </c>
      <c r="Q65" s="94"/>
      <c r="R65" s="94"/>
      <c r="S65" s="94"/>
    </row>
    <row r="66" spans="1:20">
      <c r="A66" s="97" t="s">
        <v>6595</v>
      </c>
      <c r="B66" s="97" t="s">
        <v>6594</v>
      </c>
      <c r="C66" s="97">
        <v>1266.5</v>
      </c>
      <c r="D66" s="97">
        <v>8000</v>
      </c>
      <c r="E66" s="97" t="s">
        <v>4216</v>
      </c>
      <c r="F66" s="97">
        <v>1301</v>
      </c>
      <c r="G66" s="97">
        <v>8000</v>
      </c>
      <c r="H66" s="97"/>
      <c r="I66" s="97"/>
      <c r="J66" s="97"/>
      <c r="K66" s="97"/>
      <c r="L66" s="345">
        <v>146805</v>
      </c>
      <c r="M66" s="345">
        <f>L66/2</f>
        <v>73402.5</v>
      </c>
      <c r="N66" s="97" t="s">
        <v>6595</v>
      </c>
      <c r="P66" t="s">
        <v>25</v>
      </c>
      <c r="Q66" s="94"/>
      <c r="R66" s="94"/>
      <c r="S66" s="94"/>
    </row>
    <row r="67" spans="1:20" ht="30">
      <c r="A67" s="36" t="s">
        <v>6609</v>
      </c>
      <c r="B67" s="97" t="s">
        <v>6594</v>
      </c>
      <c r="C67" s="97" t="s">
        <v>6610</v>
      </c>
      <c r="D67" s="97">
        <v>21000</v>
      </c>
      <c r="E67" s="97" t="s">
        <v>4216</v>
      </c>
      <c r="F67" s="97">
        <v>1312</v>
      </c>
      <c r="G67" s="97">
        <v>21000</v>
      </c>
      <c r="H67" s="97"/>
      <c r="I67" s="97"/>
      <c r="J67" s="97"/>
      <c r="K67" s="97"/>
      <c r="L67" s="345">
        <v>345822</v>
      </c>
      <c r="M67" s="345">
        <f>L67/2</f>
        <v>172911</v>
      </c>
      <c r="N67" s="97" t="s">
        <v>6611</v>
      </c>
      <c r="Q67" s="94"/>
      <c r="R67" s="94"/>
      <c r="S67" s="94"/>
    </row>
    <row r="68" spans="1:20">
      <c r="A68" s="97"/>
      <c r="B68" s="97"/>
      <c r="C68" s="97"/>
      <c r="D68" s="97"/>
      <c r="E68" s="97"/>
      <c r="F68" s="97"/>
      <c r="G68" s="97"/>
      <c r="H68" s="97"/>
      <c r="I68" s="97"/>
      <c r="J68" s="97"/>
      <c r="K68" s="97" t="s">
        <v>25</v>
      </c>
      <c r="L68" s="345"/>
      <c r="M68" s="345"/>
      <c r="N68" s="97"/>
      <c r="P68" t="s">
        <v>25</v>
      </c>
      <c r="Q68" s="94"/>
      <c r="R68" s="94"/>
      <c r="S68" s="94"/>
    </row>
    <row r="69" spans="1:20">
      <c r="A69" s="94"/>
      <c r="N69" s="94"/>
      <c r="P69" t="s">
        <v>25</v>
      </c>
      <c r="Q69" s="94"/>
      <c r="R69" s="94"/>
      <c r="S69" s="94"/>
      <c r="T69" s="94"/>
    </row>
    <row r="70" spans="1:20">
      <c r="A70" s="94"/>
      <c r="Q70" s="94"/>
      <c r="R70" s="94"/>
      <c r="S70" s="94"/>
      <c r="T70" s="94"/>
    </row>
    <row r="71" spans="1:20">
      <c r="A71" s="97" t="s">
        <v>6489</v>
      </c>
      <c r="B71" s="97"/>
      <c r="C71" s="97" t="s">
        <v>920</v>
      </c>
      <c r="D71" s="97" t="s">
        <v>933</v>
      </c>
      <c r="E71" s="97" t="s">
        <v>920</v>
      </c>
      <c r="F71" s="97" t="s">
        <v>933</v>
      </c>
      <c r="G71" s="97" t="s">
        <v>936</v>
      </c>
      <c r="H71" s="97" t="s">
        <v>5</v>
      </c>
      <c r="I71" s="97" t="s">
        <v>6605</v>
      </c>
      <c r="J71" s="97"/>
      <c r="K71" s="97"/>
      <c r="L71" s="97"/>
      <c r="M71" s="97"/>
      <c r="N71" s="97"/>
      <c r="Q71" s="94"/>
      <c r="R71" s="94" t="s">
        <v>25</v>
      </c>
      <c r="S71" s="94"/>
      <c r="T71" s="94"/>
    </row>
    <row r="72" spans="1:20">
      <c r="A72" s="97" t="s">
        <v>6488</v>
      </c>
      <c r="B72" s="97" t="s">
        <v>4216</v>
      </c>
      <c r="C72" s="97">
        <v>33874</v>
      </c>
      <c r="D72" s="112">
        <v>1240</v>
      </c>
      <c r="E72" s="97">
        <v>33874</v>
      </c>
      <c r="F72" s="93">
        <v>1278</v>
      </c>
      <c r="G72" s="93">
        <v>750337</v>
      </c>
      <c r="H72" s="93">
        <f>G72/2</f>
        <v>375168.5</v>
      </c>
      <c r="I72" s="97">
        <v>0</v>
      </c>
      <c r="J72" s="97"/>
      <c r="K72" s="97"/>
      <c r="L72" s="97"/>
      <c r="M72" s="97"/>
      <c r="N72" s="97"/>
      <c r="P72" s="94"/>
      <c r="Q72" s="94"/>
      <c r="R72" s="94"/>
      <c r="S72" s="94"/>
      <c r="T72" s="94"/>
    </row>
    <row r="73" spans="1:20">
      <c r="A73" s="97" t="s">
        <v>6494</v>
      </c>
      <c r="B73" s="97" t="s">
        <v>4216</v>
      </c>
      <c r="C73" s="97">
        <v>33274</v>
      </c>
      <c r="D73" s="97">
        <v>1291</v>
      </c>
      <c r="E73" s="97">
        <v>33274</v>
      </c>
      <c r="F73" s="97">
        <v>1314.3</v>
      </c>
      <c r="G73" s="93">
        <v>229922</v>
      </c>
      <c r="H73" s="93">
        <f>G73/2</f>
        <v>114961</v>
      </c>
      <c r="I73" s="97">
        <v>0</v>
      </c>
      <c r="J73" s="97" t="s">
        <v>25</v>
      </c>
      <c r="K73" s="97"/>
      <c r="L73" s="97"/>
      <c r="M73" s="97"/>
      <c r="N73" s="97"/>
      <c r="P73" s="94"/>
      <c r="Q73" s="94"/>
      <c r="R73" s="94"/>
      <c r="S73" s="94"/>
      <c r="T73" s="94"/>
    </row>
    <row r="74" spans="1:20">
      <c r="A74" s="97" t="s">
        <v>6586</v>
      </c>
      <c r="B74" s="97" t="s">
        <v>4216</v>
      </c>
      <c r="C74" s="97">
        <v>2838</v>
      </c>
      <c r="D74" s="97">
        <v>1302</v>
      </c>
      <c r="E74" s="97">
        <v>2838</v>
      </c>
      <c r="F74" s="97">
        <v>1320</v>
      </c>
      <c r="G74" s="93">
        <v>4540</v>
      </c>
      <c r="H74" s="93">
        <f>G74/2</f>
        <v>2270</v>
      </c>
      <c r="I74" s="97">
        <v>0</v>
      </c>
      <c r="J74" s="97"/>
      <c r="K74" s="97"/>
      <c r="L74" s="97"/>
      <c r="M74" s="97"/>
      <c r="N74" s="97"/>
      <c r="P74" s="94"/>
      <c r="Q74" s="94"/>
      <c r="R74" s="94"/>
      <c r="S74" s="94"/>
      <c r="T74" s="94"/>
    </row>
    <row r="75" spans="1:20">
      <c r="A75" s="20" t="s">
        <v>6586</v>
      </c>
      <c r="B75" s="20" t="s">
        <v>4216</v>
      </c>
      <c r="C75" s="20">
        <v>28000</v>
      </c>
      <c r="D75" s="20">
        <v>1302</v>
      </c>
      <c r="E75" s="20">
        <v>28000</v>
      </c>
      <c r="F75" s="20">
        <v>1345</v>
      </c>
      <c r="G75" s="93">
        <v>737130</v>
      </c>
      <c r="H75" s="93">
        <f>G75/2</f>
        <v>368565</v>
      </c>
      <c r="I75" s="20" t="s">
        <v>6591</v>
      </c>
      <c r="J75" s="20"/>
      <c r="K75" s="97"/>
      <c r="L75" s="97"/>
      <c r="M75" s="97"/>
      <c r="N75" s="97"/>
      <c r="P75" s="94"/>
      <c r="Q75" s="94"/>
      <c r="R75" s="94"/>
      <c r="S75" s="94"/>
      <c r="T75" s="94"/>
    </row>
    <row r="76" spans="1:20">
      <c r="A76" s="159" t="s">
        <v>6591</v>
      </c>
      <c r="B76" s="159" t="s">
        <v>4216</v>
      </c>
      <c r="C76" s="159">
        <v>28000</v>
      </c>
      <c r="D76" s="159">
        <v>1306.5</v>
      </c>
      <c r="E76" s="159">
        <v>28000</v>
      </c>
      <c r="F76" s="159">
        <v>1358.5</v>
      </c>
      <c r="G76" s="159">
        <v>985488</v>
      </c>
      <c r="H76" s="159">
        <f>G76/2</f>
        <v>492744</v>
      </c>
      <c r="I76" s="97" t="s">
        <v>6604</v>
      </c>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327" t="s">
        <v>6613</v>
      </c>
      <c r="B79" s="273" t="s">
        <v>4216</v>
      </c>
      <c r="C79" s="274">
        <v>1504</v>
      </c>
      <c r="D79" s="273">
        <v>7754</v>
      </c>
      <c r="E79" s="348" t="s">
        <v>1068</v>
      </c>
      <c r="F79" s="44">
        <v>115435.1</v>
      </c>
      <c r="G79" s="348">
        <f>C79*D79*0.99114/(F79*1.00125)</f>
        <v>100.00649900224266</v>
      </c>
      <c r="H79" s="195">
        <f>C79/F79</f>
        <v>1.3028966059716672E-2</v>
      </c>
      <c r="I79" s="349">
        <f>$R$31/$R$37</f>
        <v>1.2860869565217391E-2</v>
      </c>
      <c r="J79" s="20">
        <f>I79/H79</f>
        <v>0.98709824757169284</v>
      </c>
      <c r="K79" s="20">
        <f>(1/J79-1.015155)*100</f>
        <v>-0.20846167225034851</v>
      </c>
      <c r="L79" s="20"/>
      <c r="M79" s="20"/>
      <c r="N79" s="20">
        <f>1</f>
        <v>1</v>
      </c>
      <c r="O79" s="94"/>
      <c r="P79" s="94"/>
      <c r="Q79" s="94"/>
      <c r="R79" s="94" t="s">
        <v>25</v>
      </c>
      <c r="S79" s="94"/>
      <c r="T79" s="94"/>
    </row>
    <row r="80" spans="1:20">
      <c r="A80" s="327"/>
      <c r="B80" s="273"/>
      <c r="C80" s="274"/>
      <c r="D80" s="273"/>
      <c r="E80" s="348" t="s">
        <v>1068</v>
      </c>
      <c r="F80" s="44">
        <v>0</v>
      </c>
      <c r="G80" s="348" t="e">
        <f t="shared" ref="G80:G81" si="75">C80*D80*0.99114/(F80*1.0037158)</f>
        <v>#DIV/0!</v>
      </c>
      <c r="H80" s="195" t="e">
        <f t="shared" ref="H80:H81" si="76">C80/F80</f>
        <v>#DIV/0!</v>
      </c>
      <c r="I80" s="349">
        <f>$R$31/$R$37</f>
        <v>1.2860869565217391E-2</v>
      </c>
      <c r="J80" s="20" t="e">
        <f t="shared" ref="J80:J81" si="77">I80/H80</f>
        <v>#DIV/0!</v>
      </c>
      <c r="K80" s="20" t="e">
        <f t="shared" ref="K80:K81" si="78">(1/J80-1.0256)*100</f>
        <v>#DIV/0!</v>
      </c>
      <c r="L80" s="20"/>
      <c r="M80" s="20"/>
      <c r="N80" s="20">
        <f>1</f>
        <v>1</v>
      </c>
      <c r="O80" s="94"/>
      <c r="P80" s="94"/>
      <c r="Q80" s="94"/>
      <c r="R80" s="94" t="s">
        <v>25</v>
      </c>
      <c r="S80" s="94"/>
      <c r="T80" s="94"/>
    </row>
    <row r="81" spans="1:26">
      <c r="A81" s="327"/>
      <c r="B81" s="273"/>
      <c r="C81" s="274"/>
      <c r="D81" s="273"/>
      <c r="E81" s="348" t="s">
        <v>1068</v>
      </c>
      <c r="F81" s="44">
        <v>0</v>
      </c>
      <c r="G81" s="348" t="e">
        <f t="shared" si="75"/>
        <v>#DIV/0!</v>
      </c>
      <c r="H81" s="195" t="e">
        <f t="shared" si="76"/>
        <v>#DIV/0!</v>
      </c>
      <c r="I81" s="349">
        <f>$R$31/$R$37</f>
        <v>1.2860869565217391E-2</v>
      </c>
      <c r="J81" s="20" t="e">
        <f t="shared" si="77"/>
        <v>#DIV/0!</v>
      </c>
      <c r="K81" s="20" t="e">
        <f t="shared" si="78"/>
        <v>#DIV/0!</v>
      </c>
      <c r="L81" s="20"/>
      <c r="M81" s="20"/>
      <c r="N81" s="20">
        <f>1</f>
        <v>1</v>
      </c>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t="s">
        <v>25</v>
      </c>
      <c r="E85" s="94"/>
      <c r="P85" s="94"/>
      <c r="Q85" s="94" t="s">
        <v>25</v>
      </c>
      <c r="R85" s="94" t="s">
        <v>25</v>
      </c>
      <c r="S85" s="94"/>
      <c r="T85" s="94"/>
    </row>
    <row r="86" spans="1:26">
      <c r="A86" s="94"/>
      <c r="B86" s="94"/>
      <c r="C86" s="94"/>
      <c r="D86" s="94"/>
      <c r="E86" s="94"/>
      <c r="O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H88">
        <v>66597</v>
      </c>
      <c r="J88" t="s">
        <v>25</v>
      </c>
      <c r="O88" s="94"/>
      <c r="P88" s="94"/>
      <c r="Q88" s="94" t="s">
        <v>25</v>
      </c>
      <c r="R88" s="112"/>
      <c r="S88" s="120" t="s">
        <v>25</v>
      </c>
      <c r="T88" s="94"/>
    </row>
    <row r="89" spans="1:26">
      <c r="A89" s="94"/>
      <c r="O89" s="94"/>
      <c r="P89" s="94"/>
      <c r="Q89" s="94"/>
      <c r="R89" s="94"/>
      <c r="S89" s="94" t="s">
        <v>25</v>
      </c>
      <c r="T89" s="94"/>
    </row>
    <row r="90" spans="1:26">
      <c r="A90" s="94"/>
      <c r="O90" s="94"/>
      <c r="P90" s="94"/>
      <c r="Q90" s="94"/>
      <c r="R90" s="94"/>
      <c r="S90" s="94" t="s">
        <v>25</v>
      </c>
      <c r="T90" s="94"/>
    </row>
    <row r="91" spans="1:26">
      <c r="A91" s="94"/>
      <c r="H91">
        <v>31500</v>
      </c>
      <c r="O91" s="94"/>
      <c r="P91" s="94"/>
      <c r="Q91" s="94"/>
      <c r="S91" s="94"/>
      <c r="T91" s="94"/>
    </row>
    <row r="92" spans="1:26">
      <c r="A92" s="94"/>
      <c r="H92">
        <v>34120</v>
      </c>
      <c r="O92" s="94"/>
      <c r="P92" s="94"/>
      <c r="Q92" s="94"/>
      <c r="S92" s="94"/>
      <c r="T92" s="94"/>
    </row>
    <row r="93" spans="1:26">
      <c r="A93" s="94"/>
      <c r="O93" s="94"/>
      <c r="P93" s="94"/>
      <c r="S93" s="94"/>
      <c r="T93" s="94"/>
    </row>
    <row r="94" spans="1:26">
      <c r="A94" s="94"/>
      <c r="O94" s="94"/>
      <c r="P94" s="94"/>
      <c r="S94" s="94"/>
      <c r="T94" s="94"/>
    </row>
    <row r="95" spans="1:26">
      <c r="A95" s="94"/>
      <c r="O95" s="94"/>
      <c r="P95" s="94" t="s">
        <v>25</v>
      </c>
    </row>
    <row r="96" spans="1:26">
      <c r="A96" s="94"/>
      <c r="O96" s="94" t="s">
        <v>25</v>
      </c>
      <c r="P96" s="94" t="s">
        <v>25</v>
      </c>
      <c r="R96" t="s">
        <v>25</v>
      </c>
      <c r="Z96" t="s">
        <v>25</v>
      </c>
    </row>
    <row r="97" spans="1:27">
      <c r="A97" s="94"/>
      <c r="O97" s="94"/>
      <c r="P97" s="94"/>
    </row>
    <row r="98" spans="1:27">
      <c r="A98" s="94"/>
      <c r="O98" s="94"/>
      <c r="P98" s="94" t="s">
        <v>25</v>
      </c>
    </row>
    <row r="99" spans="1:27">
      <c r="A99" s="94"/>
      <c r="O99" s="94" t="s">
        <v>25</v>
      </c>
      <c r="P99" s="94" t="s">
        <v>25</v>
      </c>
      <c r="Q99" t="s">
        <v>25</v>
      </c>
      <c r="AA99" t="s">
        <v>25</v>
      </c>
    </row>
    <row r="100" spans="1:27">
      <c r="A100" s="94"/>
      <c r="O100" s="94" t="s">
        <v>25</v>
      </c>
      <c r="P100" s="94" t="s">
        <v>25</v>
      </c>
    </row>
    <row r="101" spans="1:27">
      <c r="A101" s="94"/>
      <c r="O101" s="94"/>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row>
    <row r="106" spans="1:27">
      <c r="A106" s="94"/>
      <c r="P106" t="s">
        <v>25</v>
      </c>
      <c r="R106" t="s">
        <v>25</v>
      </c>
    </row>
    <row r="107" spans="1:27">
      <c r="A107" s="94"/>
      <c r="Z107" t="s">
        <v>25</v>
      </c>
    </row>
    <row r="108" spans="1:27">
      <c r="A108" s="94"/>
      <c r="O108" t="s">
        <v>25</v>
      </c>
    </row>
    <row r="109" spans="1:27">
      <c r="A109" s="94"/>
    </row>
    <row r="110" spans="1:27">
      <c r="A110" s="94"/>
      <c r="P110" t="s">
        <v>25</v>
      </c>
    </row>
    <row r="111" spans="1:27">
      <c r="A111" s="94"/>
      <c r="O111" t="s">
        <v>25</v>
      </c>
      <c r="P111" t="s">
        <v>25</v>
      </c>
    </row>
    <row r="112" spans="1:27">
      <c r="P112" t="s">
        <v>25</v>
      </c>
    </row>
    <row r="113" spans="15:19">
      <c r="O113" t="s">
        <v>25</v>
      </c>
      <c r="P113" t="s">
        <v>25</v>
      </c>
    </row>
    <row r="115" spans="15:19" ht="27" customHeight="1">
      <c r="P115" t="s">
        <v>25</v>
      </c>
      <c r="Q115" t="s">
        <v>25</v>
      </c>
    </row>
    <row r="116" spans="15:19">
      <c r="P116" t="s">
        <v>25</v>
      </c>
      <c r="R116" t="s">
        <v>25</v>
      </c>
    </row>
    <row r="117" spans="15:19">
      <c r="P117" t="s">
        <v>25</v>
      </c>
      <c r="Q117" t="s">
        <v>25</v>
      </c>
      <c r="R117" t="s">
        <v>25</v>
      </c>
    </row>
    <row r="118" spans="15:19">
      <c r="O118" t="s">
        <v>25</v>
      </c>
      <c r="P118" t="s">
        <v>25</v>
      </c>
      <c r="R118" s="283" t="s">
        <v>5658</v>
      </c>
    </row>
    <row r="119" spans="15:19">
      <c r="P119" t="s">
        <v>25</v>
      </c>
      <c r="Q119" t="s">
        <v>25</v>
      </c>
      <c r="R119" t="s">
        <v>25</v>
      </c>
    </row>
    <row r="120" spans="15:19">
      <c r="R120" t="s">
        <v>25</v>
      </c>
    </row>
    <row r="121" spans="15:19">
      <c r="R121" t="s">
        <v>25</v>
      </c>
    </row>
    <row r="123" spans="15:19">
      <c r="P123" t="s">
        <v>25</v>
      </c>
    </row>
    <row r="124" spans="15:19">
      <c r="P124" t="s">
        <v>25</v>
      </c>
      <c r="R124" t="s">
        <v>25</v>
      </c>
      <c r="S124" t="s">
        <v>25</v>
      </c>
    </row>
    <row r="125" spans="15:19">
      <c r="R125" t="s">
        <v>25</v>
      </c>
      <c r="S125" t="s">
        <v>25</v>
      </c>
    </row>
    <row r="126" spans="15:19">
      <c r="S126" t="s">
        <v>25</v>
      </c>
    </row>
    <row r="127" spans="15:19">
      <c r="P127" t="s">
        <v>25</v>
      </c>
      <c r="S127" t="s">
        <v>25</v>
      </c>
    </row>
    <row r="128" spans="15:19">
      <c r="Q128" t="s">
        <v>25</v>
      </c>
      <c r="R128" t="s">
        <v>25</v>
      </c>
      <c r="S128" t="s">
        <v>25</v>
      </c>
    </row>
    <row r="129" spans="15:21">
      <c r="P129" t="s">
        <v>25</v>
      </c>
      <c r="Q129" t="s">
        <v>25</v>
      </c>
    </row>
    <row r="130" spans="15:21">
      <c r="P130" t="s">
        <v>25</v>
      </c>
      <c r="R130" t="s">
        <v>25</v>
      </c>
    </row>
    <row r="131" spans="15:21">
      <c r="O131" t="s">
        <v>25</v>
      </c>
      <c r="P131" s="94" t="s">
        <v>25</v>
      </c>
      <c r="S131" t="s">
        <v>25</v>
      </c>
      <c r="T131" t="s">
        <v>25</v>
      </c>
    </row>
    <row r="132" spans="15:21">
      <c r="Q132" t="s">
        <v>25</v>
      </c>
      <c r="R132" t="s">
        <v>25</v>
      </c>
      <c r="S132" t="s">
        <v>25</v>
      </c>
    </row>
    <row r="133" spans="15:21">
      <c r="O133" s="94"/>
      <c r="P133" t="s">
        <v>25</v>
      </c>
      <c r="Q133" t="s">
        <v>25</v>
      </c>
      <c r="R133" t="s">
        <v>25</v>
      </c>
    </row>
    <row r="134" spans="15:21">
      <c r="O134" s="94"/>
      <c r="P134" t="s">
        <v>25</v>
      </c>
      <c r="R134" t="s">
        <v>25</v>
      </c>
      <c r="S134" t="s">
        <v>25</v>
      </c>
    </row>
    <row r="135" spans="15:21">
      <c r="O135" s="94" t="s">
        <v>25</v>
      </c>
      <c r="Q135" t="s">
        <v>25</v>
      </c>
    </row>
    <row r="136" spans="15:21">
      <c r="O136" t="s">
        <v>25</v>
      </c>
    </row>
    <row r="137" spans="15:21">
      <c r="R137" t="s">
        <v>25</v>
      </c>
    </row>
    <row r="138" spans="15:21">
      <c r="S138" t="s">
        <v>25</v>
      </c>
    </row>
    <row r="139" spans="15:21">
      <c r="P139" s="94" t="s">
        <v>5507</v>
      </c>
      <c r="R139" t="s">
        <v>25</v>
      </c>
    </row>
    <row r="140" spans="15:21">
      <c r="P140" s="94" t="s">
        <v>5508</v>
      </c>
      <c r="U140" t="s">
        <v>25</v>
      </c>
    </row>
    <row r="141" spans="15:21">
      <c r="P141" s="94" t="s">
        <v>5509</v>
      </c>
      <c r="R141" t="s">
        <v>25</v>
      </c>
    </row>
    <row r="142" spans="15:21">
      <c r="O142" t="s">
        <v>25</v>
      </c>
      <c r="P142" s="94" t="s">
        <v>5510</v>
      </c>
      <c r="R142" t="s">
        <v>25</v>
      </c>
      <c r="S142" t="s">
        <v>25</v>
      </c>
    </row>
    <row r="143" spans="15:21">
      <c r="P143" s="94" t="s">
        <v>5511</v>
      </c>
      <c r="Q143" t="s">
        <v>25</v>
      </c>
      <c r="R143" t="s">
        <v>25</v>
      </c>
    </row>
    <row r="144" spans="15:21">
      <c r="P144" s="94" t="s">
        <v>5512</v>
      </c>
      <c r="R144" t="s">
        <v>25</v>
      </c>
    </row>
    <row r="145" spans="15:18">
      <c r="O145" s="94"/>
    </row>
    <row r="146" spans="15:18">
      <c r="O146" s="94"/>
      <c r="P146" t="s">
        <v>25</v>
      </c>
    </row>
    <row r="147" spans="15:18">
      <c r="O147" s="94"/>
    </row>
    <row r="148" spans="15:18">
      <c r="O148" s="94"/>
      <c r="P148" t="s">
        <v>25</v>
      </c>
    </row>
    <row r="149" spans="15:18">
      <c r="O149" t="s">
        <v>25</v>
      </c>
    </row>
    <row r="150" spans="15:18">
      <c r="P150" t="s">
        <v>25</v>
      </c>
    </row>
    <row r="151" spans="15:18">
      <c r="P151" t="s">
        <v>25</v>
      </c>
    </row>
    <row r="152" spans="15:18">
      <c r="O152" t="s">
        <v>25</v>
      </c>
      <c r="Q152" t="s">
        <v>25</v>
      </c>
    </row>
    <row r="153" spans="15:18">
      <c r="O153" s="94"/>
      <c r="Q153" t="s">
        <v>25</v>
      </c>
    </row>
    <row r="154" spans="15:18">
      <c r="O154" s="94" t="s">
        <v>25</v>
      </c>
    </row>
    <row r="156" spans="15:18">
      <c r="O156" t="s">
        <v>25</v>
      </c>
      <c r="P156" t="s">
        <v>25</v>
      </c>
    </row>
    <row r="157" spans="15:18">
      <c r="O157" t="s">
        <v>25</v>
      </c>
      <c r="R157" t="s">
        <v>25</v>
      </c>
    </row>
    <row r="158" spans="15:18">
      <c r="O158" t="s">
        <v>25</v>
      </c>
    </row>
    <row r="162" spans="15:16">
      <c r="P162" t="s">
        <v>25</v>
      </c>
    </row>
    <row r="170" spans="15:16">
      <c r="P170" t="s">
        <v>25</v>
      </c>
    </row>
    <row r="171" spans="15:16">
      <c r="P171" t="s">
        <v>25</v>
      </c>
    </row>
    <row r="173" spans="15:16">
      <c r="P173" t="s">
        <v>25</v>
      </c>
    </row>
    <row r="174" spans="15:16">
      <c r="O174" t="s">
        <v>25</v>
      </c>
    </row>
    <row r="180" spans="16:19">
      <c r="S180" t="s">
        <v>25</v>
      </c>
    </row>
    <row r="189" spans="16:19">
      <c r="P189" t="s">
        <v>25</v>
      </c>
    </row>
    <row r="193" spans="16:21">
      <c r="U193" t="s">
        <v>25</v>
      </c>
    </row>
    <row r="196" spans="16:21">
      <c r="Q196" t="s">
        <v>25</v>
      </c>
    </row>
    <row r="200" spans="16:21">
      <c r="P200" t="s">
        <v>25</v>
      </c>
    </row>
    <row r="209" spans="15:16">
      <c r="P209" t="s">
        <v>25</v>
      </c>
    </row>
    <row r="214" spans="15:16">
      <c r="O214" s="94"/>
    </row>
    <row r="215" spans="15:16">
      <c r="O215" s="94" t="s">
        <v>25</v>
      </c>
    </row>
    <row r="216" spans="15:16">
      <c r="O216" s="94"/>
      <c r="P216" t="s">
        <v>25</v>
      </c>
    </row>
    <row r="217" spans="15:16">
      <c r="O217" s="94" t="s">
        <v>25</v>
      </c>
    </row>
    <row r="218" spans="15:16">
      <c r="O218" s="94"/>
    </row>
    <row r="219" spans="15:16">
      <c r="O219" s="94"/>
    </row>
  </sheetData>
  <conditionalFormatting sqref="K62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5:K6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9:K8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7039</v>
      </c>
      <c r="X32" s="94"/>
      <c r="Y32" s="94"/>
      <c r="Z32" s="343" t="s">
        <v>5210</v>
      </c>
      <c r="AA32" s="94" t="s">
        <v>7040</v>
      </c>
      <c r="AB32" s="94"/>
    </row>
    <row r="33" spans="18:28">
      <c r="R33" s="94"/>
      <c r="S33" s="94"/>
      <c r="T33" s="94"/>
      <c r="U33" s="94"/>
      <c r="V33" s="94"/>
      <c r="W33" s="343" t="s">
        <v>7041</v>
      </c>
      <c r="X33" s="343">
        <v>9304634309</v>
      </c>
      <c r="Y33" s="343">
        <v>150</v>
      </c>
      <c r="Z33" s="343" t="s">
        <v>7042</v>
      </c>
      <c r="AA33" s="94" t="s">
        <v>7038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1475</v>
      </c>
      <c r="H4" s="115">
        <f>C4*G4</f>
        <v>435125000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466825061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1475</v>
      </c>
      <c r="H19" s="115">
        <f>C19*G19</f>
        <v>19080600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320888028</v>
      </c>
    </row>
    <row r="26" spans="1:8">
      <c r="D26" t="s">
        <v>5391</v>
      </c>
      <c r="E26" s="112">
        <f>'خرید خانه'!H10+'خرید خانه'!H23-'خرید خانه'!D10-'خرید خانه'!D23</f>
        <v>486013089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2021-11-02T09:01:27Z</dcterms:modified>
</cp:coreProperties>
</file>