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خرید و فروش نسبتی" sheetId="4" r:id="rId1"/>
  </sheets>
  <calcPr calcId="145621"/>
</workbook>
</file>

<file path=xl/calcChain.xml><?xml version="1.0" encoding="utf-8"?>
<calcChain xmlns="http://schemas.openxmlformats.org/spreadsheetml/2006/main">
  <c r="I49" i="4" l="1"/>
  <c r="R8" i="4"/>
  <c r="R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J58" i="4" s="1"/>
  <c r="K58" i="4" s="1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J50" i="4" s="1"/>
  <c r="K50" i="4" s="1"/>
  <c r="G50" i="4"/>
  <c r="H49" i="4"/>
  <c r="G49" i="4"/>
  <c r="I48" i="4"/>
  <c r="H48" i="4"/>
  <c r="G48" i="4"/>
  <c r="I47" i="4"/>
  <c r="H47" i="4"/>
  <c r="G47" i="4"/>
  <c r="I46" i="4"/>
  <c r="H46" i="4"/>
  <c r="G46" i="4"/>
  <c r="I43" i="4"/>
  <c r="H43" i="4"/>
  <c r="G43" i="4"/>
  <c r="J38" i="4"/>
  <c r="K38" i="4" s="1"/>
  <c r="L38" i="4" s="1"/>
  <c r="J37" i="4"/>
  <c r="K37" i="4" s="1"/>
  <c r="L37" i="4" s="1"/>
  <c r="J36" i="4"/>
  <c r="K36" i="4" s="1"/>
  <c r="L36" i="4" s="1"/>
  <c r="J35" i="4"/>
  <c r="K35" i="4" s="1"/>
  <c r="L35" i="4" s="1"/>
  <c r="J34" i="4"/>
  <c r="K34" i="4" s="1"/>
  <c r="L34" i="4" s="1"/>
  <c r="J33" i="4"/>
  <c r="K33" i="4" s="1"/>
  <c r="L33" i="4" s="1"/>
  <c r="J32" i="4"/>
  <c r="K32" i="4" s="1"/>
  <c r="L32" i="4" s="1"/>
  <c r="J31" i="4"/>
  <c r="K31" i="4" s="1"/>
  <c r="L31" i="4" s="1"/>
  <c r="J30" i="4"/>
  <c r="K30" i="4" s="1"/>
  <c r="L30" i="4" s="1"/>
  <c r="J29" i="4"/>
  <c r="K29" i="4" s="1"/>
  <c r="L29" i="4" s="1"/>
  <c r="J27" i="4"/>
  <c r="K27" i="4" s="1"/>
  <c r="L27" i="4" s="1"/>
  <c r="I10" i="4"/>
  <c r="H10" i="4"/>
  <c r="G10" i="4"/>
  <c r="I6" i="4"/>
  <c r="H6" i="4"/>
  <c r="G6" i="4"/>
  <c r="I3" i="4"/>
  <c r="H3" i="4"/>
  <c r="G3" i="4"/>
  <c r="I2" i="4"/>
  <c r="H2" i="4"/>
  <c r="G2" i="4"/>
  <c r="J66" i="4" l="1"/>
  <c r="K66" i="4" s="1"/>
  <c r="J49" i="4"/>
  <c r="K49" i="4" s="1"/>
  <c r="J65" i="4"/>
  <c r="K65" i="4" s="1"/>
  <c r="J2" i="4"/>
  <c r="K2" i="4" s="1"/>
  <c r="J62" i="4"/>
  <c r="K62" i="4" s="1"/>
  <c r="J3" i="4"/>
  <c r="K3" i="4" s="1"/>
  <c r="J52" i="4"/>
  <c r="K52" i="4" s="1"/>
  <c r="J47" i="4"/>
  <c r="K47" i="4" s="1"/>
  <c r="J10" i="4"/>
  <c r="K10" i="4" s="1"/>
  <c r="J48" i="4"/>
  <c r="K48" i="4" s="1"/>
  <c r="J56" i="4"/>
  <c r="K56" i="4" s="1"/>
  <c r="J64" i="4"/>
  <c r="K64" i="4" s="1"/>
  <c r="J43" i="4"/>
  <c r="K43" i="4" s="1"/>
  <c r="J61" i="4"/>
  <c r="K61" i="4" s="1"/>
  <c r="J63" i="4"/>
  <c r="K63" i="4" s="1"/>
  <c r="J53" i="4"/>
  <c r="K53" i="4" s="1"/>
  <c r="J46" i="4"/>
  <c r="K46" i="4" s="1"/>
  <c r="J51" i="4"/>
  <c r="K51" i="4" s="1"/>
  <c r="J6" i="4"/>
  <c r="K6" i="4" s="1"/>
  <c r="J55" i="4"/>
  <c r="K55" i="4" s="1"/>
  <c r="J54" i="4"/>
  <c r="K54" i="4" s="1"/>
  <c r="J59" i="4"/>
  <c r="K59" i="4" s="1"/>
  <c r="J60" i="4"/>
  <c r="K60" i="4" s="1"/>
  <c r="J57" i="4"/>
  <c r="K57" i="4" s="1"/>
  <c r="M34" i="4"/>
  <c r="N34" i="4" s="1"/>
  <c r="M27" i="4"/>
  <c r="N27" i="4" s="1"/>
  <c r="M35" i="4"/>
  <c r="N35" i="4" s="1"/>
  <c r="O35" i="4" s="1"/>
  <c r="M29" i="4"/>
  <c r="N29" i="4" s="1"/>
  <c r="O29" i="4" s="1"/>
  <c r="M33" i="4"/>
  <c r="N33" i="4" s="1"/>
  <c r="O33" i="4" s="1"/>
  <c r="M30" i="4"/>
  <c r="M31" i="4"/>
  <c r="N31" i="4" s="1"/>
  <c r="O31" i="4" s="1"/>
  <c r="M37" i="4"/>
  <c r="N37" i="4" s="1"/>
  <c r="O37" i="4" s="1"/>
  <c r="M36" i="4"/>
  <c r="N36" i="4" s="1"/>
  <c r="O36" i="4" s="1"/>
  <c r="M38" i="4"/>
  <c r="N38" i="4" s="1"/>
  <c r="O38" i="4" s="1"/>
  <c r="M32" i="4"/>
  <c r="N32" i="4" s="1"/>
  <c r="O32" i="4" s="1"/>
  <c r="O34" i="4" l="1"/>
  <c r="N30" i="4"/>
  <c r="O30" i="4" s="1"/>
</calcChain>
</file>

<file path=xl/sharedStrings.xml><?xml version="1.0" encoding="utf-8"?>
<sst xmlns="http://schemas.openxmlformats.org/spreadsheetml/2006/main" count="335" uniqueCount="82">
  <si>
    <t>13/12/1402</t>
  </si>
  <si>
    <t>وغدیر</t>
  </si>
  <si>
    <t>وسپه</t>
  </si>
  <si>
    <t>14/12/1402</t>
  </si>
  <si>
    <t>توان</t>
  </si>
  <si>
    <t>اعتبار</t>
  </si>
  <si>
    <t xml:space="preserve"> </t>
  </si>
  <si>
    <t>ومهان</t>
  </si>
  <si>
    <t>شستا</t>
  </si>
  <si>
    <t>شپدیس</t>
  </si>
  <si>
    <t>ضتوان706</t>
  </si>
  <si>
    <t>18/5/1402</t>
  </si>
  <si>
    <t>ضتوان1205</t>
  </si>
  <si>
    <t>فروش</t>
  </si>
  <si>
    <t>ضستا1217</t>
  </si>
  <si>
    <t>خرید</t>
  </si>
  <si>
    <t>ضستا2026</t>
  </si>
  <si>
    <t>ضهرم2008</t>
  </si>
  <si>
    <t>سکه</t>
  </si>
  <si>
    <t>ضهرم2007</t>
  </si>
  <si>
    <t>ضهرم1227</t>
  </si>
  <si>
    <t>ضهرم1226</t>
  </si>
  <si>
    <t>ضهرم0108</t>
  </si>
  <si>
    <t>اهرم</t>
  </si>
  <si>
    <t>خودرو</t>
  </si>
  <si>
    <t>17/10/1402</t>
  </si>
  <si>
    <t>طلا</t>
  </si>
  <si>
    <t>قیمت خرید اولیه</t>
  </si>
  <si>
    <t>پریمیوم</t>
  </si>
  <si>
    <t>قیمت خرید ثانویه</t>
  </si>
  <si>
    <t>تعداد خرید اولیه</t>
  </si>
  <si>
    <t>تعداد خرید ثانویه</t>
  </si>
  <si>
    <t>تعداد خرید کل</t>
  </si>
  <si>
    <t>خنثی کردن اختیار</t>
  </si>
  <si>
    <t>پارسان</t>
  </si>
  <si>
    <t>18/10/1402</t>
  </si>
  <si>
    <t>23/11/1402</t>
  </si>
  <si>
    <t>1/11/1402</t>
  </si>
  <si>
    <t>7/11/1402</t>
  </si>
  <si>
    <t>25/10/1402</t>
  </si>
  <si>
    <t>ضستا2027</t>
  </si>
  <si>
    <t>30/10/1402</t>
  </si>
  <si>
    <t>ااهرم</t>
  </si>
  <si>
    <t>28/11/1402</t>
  </si>
  <si>
    <t>11/11/1402</t>
  </si>
  <si>
    <t>پول نقد</t>
  </si>
  <si>
    <t>ض0</t>
  </si>
  <si>
    <t>12/10/1401</t>
  </si>
  <si>
    <t>26/10/1401</t>
  </si>
  <si>
    <t>زر</t>
  </si>
  <si>
    <t>27/10/1401</t>
  </si>
  <si>
    <t>28/10/1401</t>
  </si>
  <si>
    <t xml:space="preserve">وغدیر </t>
  </si>
  <si>
    <t>1/11/1401</t>
  </si>
  <si>
    <t>2/11/1401</t>
  </si>
  <si>
    <t>3/11/1401</t>
  </si>
  <si>
    <t>4/11/1401</t>
  </si>
  <si>
    <t>5/11/1401</t>
  </si>
  <si>
    <t>ضریب</t>
  </si>
  <si>
    <t>خرید سهام</t>
  </si>
  <si>
    <t>فروش سهام</t>
  </si>
  <si>
    <t>فروش صندوقها، طلا، اختیار</t>
  </si>
  <si>
    <t>توضیحات</t>
  </si>
  <si>
    <t>ضریب کارمزدی که موقع خرید میپردازیم</t>
  </si>
  <si>
    <t>ضریب کارمزدی که موقع فروش از پول فروش کم میشه</t>
  </si>
  <si>
    <t>تاریخ</t>
  </si>
  <si>
    <t>قیمت فروش</t>
  </si>
  <si>
    <t>تعداد فروش</t>
  </si>
  <si>
    <t>قیمت خرید</t>
  </si>
  <si>
    <t>نسبت قیمت معامله</t>
  </si>
  <si>
    <t>نسبت قیمت فعلی</t>
  </si>
  <si>
    <t>نسبت قیمت فعلی تقسیم بر نسبت قیمت معامله</t>
  </si>
  <si>
    <t>نماد</t>
  </si>
  <si>
    <t>قیمت فعلی</t>
  </si>
  <si>
    <t>تعداد خرید (محاسبه میشه)</t>
  </si>
  <si>
    <t>خرید صندوقها، طلا، اختیار</t>
  </si>
  <si>
    <t>کارمزد خرید و فروش سهام</t>
  </si>
  <si>
    <t>درصد سود  (سبز) یا ضرر (قرمز)</t>
  </si>
  <si>
    <t>در یک خرید و فروش سهام تقریبا 1.25 درصد کارمزد و مالیات داریم</t>
  </si>
  <si>
    <t>در یک خرید و فروش طلا تقریبا 0.23 درصد کارمزد و مالیات داریم</t>
  </si>
  <si>
    <t>کارمزد خرید و فروش صندوق، طلا، اختیار</t>
  </si>
  <si>
    <t>موقعیت فروش در "اختیار خرید"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</si>
</sst>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ت\و\م\ا\ن\ #,##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" fillId="0" borderId="0"/>
    <xf numFmtId="0" fontId="11" fillId="0" borderId="0"/>
  </cellStyleXfs>
  <cellXfs count="112">
    <xf numFmtId="0" fontId="0" fillId="0" borderId="0" xfId="0"/>
    <xf numFmtId="1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3" fontId="0" fillId="0" borderId="0" xfId="0" applyNumberFormat="1"/>
    <xf numFmtId="3" fontId="3" fillId="2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3" fontId="2" fillId="10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9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4" fontId="5" fillId="1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" fontId="3" fillId="9" borderId="1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 applyAlignment="1">
      <alignment horizontal="center" vertical="center"/>
    </xf>
    <xf numFmtId="3" fontId="8" fillId="1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3" fontId="3" fillId="10" borderId="1" xfId="0" applyNumberFormat="1" applyFont="1" applyFill="1" applyBorder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0" fontId="9" fillId="0" borderId="0" xfId="1" applyAlignment="1">
      <alignment horizontal="left" vertical="center"/>
    </xf>
    <xf numFmtId="16" fontId="3" fillId="6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3" fontId="2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3" fontId="8" fillId="1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8" fillId="7" borderId="1" xfId="0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2" fillId="2" borderId="1" xfId="0" quotePrefix="1" applyNumberFormat="1" applyFont="1" applyFill="1" applyBorder="1" applyAlignment="1">
      <alignment horizontal="center" vertical="center"/>
    </xf>
    <xf numFmtId="3" fontId="2" fillId="10" borderId="1" xfId="0" quotePrefix="1" applyNumberFormat="1" applyFont="1" applyFill="1" applyBorder="1" applyAlignment="1">
      <alignment horizontal="center" vertical="center"/>
    </xf>
    <xf numFmtId="3" fontId="2" fillId="6" borderId="1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9" fillId="0" borderId="0" xfId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1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64" fontId="5" fillId="7" borderId="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6" fontId="0" fillId="7" borderId="1" xfId="0" applyNumberForma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18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3"/>
  <sheetViews>
    <sheetView tabSelected="1" zoomScale="85" zoomScaleNormal="85" workbookViewId="0">
      <selection activeCell="D24" sqref="D24"/>
    </sheetView>
  </sheetViews>
  <sheetFormatPr defaultRowHeight="15" x14ac:dyDescent="0.25"/>
  <cols>
    <col min="1" max="1" width="14.85546875" customWidth="1"/>
    <col min="2" max="2" width="11.85546875" customWidth="1"/>
    <col min="3" max="3" width="24.28515625" bestFit="1" customWidth="1"/>
    <col min="4" max="4" width="17.42578125" customWidth="1"/>
    <col min="5" max="6" width="14" customWidth="1"/>
    <col min="7" max="7" width="17.140625" customWidth="1"/>
    <col min="8" max="8" width="18.7109375" bestFit="1" customWidth="1"/>
    <col min="9" max="9" width="18.5703125" bestFit="1" customWidth="1"/>
    <col min="10" max="10" width="20.7109375" bestFit="1" customWidth="1"/>
    <col min="11" max="11" width="19.28515625" bestFit="1" customWidth="1"/>
    <col min="12" max="12" width="18.28515625" bestFit="1" customWidth="1"/>
    <col min="13" max="13" width="17.28515625" customWidth="1"/>
    <col min="14" max="14" width="22.7109375" customWidth="1"/>
    <col min="15" max="15" width="27.7109375" customWidth="1"/>
    <col min="16" max="16" width="24.140625" bestFit="1" customWidth="1"/>
    <col min="17" max="17" width="34.28515625" bestFit="1" customWidth="1"/>
    <col min="18" max="18" width="14.28515625" bestFit="1" customWidth="1"/>
    <col min="19" max="19" width="48.42578125" bestFit="1" customWidth="1"/>
    <col min="20" max="20" width="39.140625" bestFit="1" customWidth="1"/>
    <col min="21" max="21" width="20.140625" bestFit="1" customWidth="1"/>
    <col min="22" max="22" width="28.5703125" bestFit="1" customWidth="1"/>
    <col min="23" max="23" width="23.5703125" bestFit="1" customWidth="1"/>
    <col min="24" max="24" width="22.140625" bestFit="1" customWidth="1"/>
    <col min="25" max="25" width="21" bestFit="1" customWidth="1"/>
    <col min="26" max="26" width="11.28515625" bestFit="1" customWidth="1"/>
    <col min="29" max="29" width="22.28515625" customWidth="1"/>
    <col min="30" max="30" width="19.5703125" bestFit="1" customWidth="1"/>
    <col min="31" max="31" width="14.28515625" bestFit="1" customWidth="1"/>
    <col min="32" max="32" width="22.42578125" bestFit="1" customWidth="1"/>
  </cols>
  <sheetData>
    <row r="1" spans="1:25" ht="56.25" x14ac:dyDescent="0.25">
      <c r="A1" s="109" t="s">
        <v>65</v>
      </c>
      <c r="B1" s="109" t="s">
        <v>13</v>
      </c>
      <c r="C1" s="109" t="s">
        <v>66</v>
      </c>
      <c r="D1" s="109" t="s">
        <v>67</v>
      </c>
      <c r="E1" s="109" t="s">
        <v>15</v>
      </c>
      <c r="F1" s="109" t="s">
        <v>68</v>
      </c>
      <c r="G1" s="109" t="s">
        <v>74</v>
      </c>
      <c r="H1" s="109" t="s">
        <v>69</v>
      </c>
      <c r="I1" s="109" t="s">
        <v>70</v>
      </c>
      <c r="J1" s="110" t="s">
        <v>71</v>
      </c>
      <c r="K1" s="111" t="s">
        <v>77</v>
      </c>
      <c r="L1" s="109" t="s">
        <v>62</v>
      </c>
      <c r="N1" s="92" t="s">
        <v>72</v>
      </c>
      <c r="O1" s="92" t="s">
        <v>73</v>
      </c>
    </row>
    <row r="2" spans="1:25" ht="21" x14ac:dyDescent="0.25">
      <c r="A2" s="96" t="s">
        <v>0</v>
      </c>
      <c r="B2" s="97" t="s">
        <v>1</v>
      </c>
      <c r="C2" s="98">
        <v>2332</v>
      </c>
      <c r="D2" s="99">
        <v>38000</v>
      </c>
      <c r="E2" s="100" t="s">
        <v>2</v>
      </c>
      <c r="F2" s="101">
        <v>416.3</v>
      </c>
      <c r="G2" s="102">
        <f>C2*D2*0.9912/(F2*1.003631981)</f>
        <v>210228.95590955176</v>
      </c>
      <c r="H2" s="103">
        <f>C2/F2</f>
        <v>5.6017295219793413</v>
      </c>
      <c r="I2" s="103">
        <f>$O$14/$O$16</f>
        <v>5.5523809523809522</v>
      </c>
      <c r="J2" s="103">
        <f>I2/H2</f>
        <v>0.99119047619047629</v>
      </c>
      <c r="K2" s="106">
        <f>(1/J2-1.0249)*100</f>
        <v>-1.6012178717271119</v>
      </c>
      <c r="L2" s="107"/>
      <c r="N2" s="104" t="s">
        <v>10</v>
      </c>
      <c r="O2" s="105">
        <v>400</v>
      </c>
      <c r="Q2" s="93" t="s">
        <v>58</v>
      </c>
      <c r="R2" s="93"/>
      <c r="S2" s="94" t="s">
        <v>62</v>
      </c>
    </row>
    <row r="3" spans="1:25" ht="21" x14ac:dyDescent="0.25">
      <c r="A3" s="1" t="s">
        <v>3</v>
      </c>
      <c r="B3" s="2" t="s">
        <v>1</v>
      </c>
      <c r="C3" s="3">
        <v>2336</v>
      </c>
      <c r="D3" s="4">
        <v>33924.300000000003</v>
      </c>
      <c r="E3" s="5" t="s">
        <v>2</v>
      </c>
      <c r="F3" s="6">
        <v>415.7</v>
      </c>
      <c r="G3" s="7">
        <f>C3*D3*0.9912/(F3*1.003631981)</f>
        <v>188274.06983121188</v>
      </c>
      <c r="H3" s="8">
        <f>C3/F3</f>
        <v>5.619437094058215</v>
      </c>
      <c r="I3" s="8">
        <f>$O$14/$O$16</f>
        <v>5.5523809523809522</v>
      </c>
      <c r="J3" s="8">
        <f>I3/H3</f>
        <v>0.98806710697977818</v>
      </c>
      <c r="K3" s="28">
        <f t="shared" ref="K3" si="0">(1/J3-1.0256)*100</f>
        <v>-1.3522993351436474</v>
      </c>
      <c r="L3" s="107"/>
      <c r="N3" s="20" t="s">
        <v>12</v>
      </c>
      <c r="O3" s="21">
        <v>83</v>
      </c>
      <c r="Q3" s="93" t="s">
        <v>59</v>
      </c>
      <c r="R3" s="93">
        <v>1.0036319810000001</v>
      </c>
      <c r="S3" s="95" t="s">
        <v>63</v>
      </c>
    </row>
    <row r="4" spans="1:25" ht="21" x14ac:dyDescent="0.25">
      <c r="A4" s="1"/>
      <c r="B4" s="2"/>
      <c r="C4" s="3"/>
      <c r="D4" s="4"/>
      <c r="E4" s="5"/>
      <c r="F4" s="6"/>
      <c r="G4" s="7"/>
      <c r="H4" s="8"/>
      <c r="I4" s="8"/>
      <c r="J4" s="8"/>
      <c r="K4" s="28"/>
      <c r="L4" s="107"/>
      <c r="N4" s="20" t="s">
        <v>14</v>
      </c>
      <c r="O4" s="21">
        <v>0</v>
      </c>
      <c r="Q4" s="93" t="s">
        <v>60</v>
      </c>
      <c r="R4" s="93">
        <v>0.99119999999999997</v>
      </c>
      <c r="S4" s="94" t="s">
        <v>64</v>
      </c>
    </row>
    <row r="5" spans="1:25" ht="21" x14ac:dyDescent="0.25">
      <c r="A5" s="1"/>
      <c r="B5" s="2"/>
      <c r="C5" s="3"/>
      <c r="D5" s="4"/>
      <c r="E5" s="5"/>
      <c r="F5" s="6"/>
      <c r="G5" s="7"/>
      <c r="H5" s="8"/>
      <c r="I5" s="8"/>
      <c r="J5" s="8"/>
      <c r="K5" s="28"/>
      <c r="L5" s="107"/>
      <c r="N5" s="20" t="s">
        <v>16</v>
      </c>
      <c r="O5" s="21">
        <v>7.5</v>
      </c>
      <c r="Q5" s="93" t="s">
        <v>75</v>
      </c>
      <c r="R5" s="93">
        <v>1.00115</v>
      </c>
      <c r="S5" s="94" t="s">
        <v>64</v>
      </c>
    </row>
    <row r="6" spans="1:25" ht="21" x14ac:dyDescent="0.25">
      <c r="A6" s="108" t="s">
        <v>0</v>
      </c>
      <c r="B6" s="30" t="s">
        <v>4</v>
      </c>
      <c r="C6" s="31">
        <v>1973</v>
      </c>
      <c r="D6" s="32">
        <v>7864.7</v>
      </c>
      <c r="E6" s="5" t="s">
        <v>2</v>
      </c>
      <c r="F6" s="6">
        <v>416.3</v>
      </c>
      <c r="G6" s="7">
        <f>C6*D6*0.99885/(F6*1.003631981)</f>
        <v>37096.131090060735</v>
      </c>
      <c r="H6" s="8">
        <f>C6/F6</f>
        <v>4.739370646168628</v>
      </c>
      <c r="I6" s="8">
        <f>$O$17/$O$16</f>
        <v>4.583333333333333</v>
      </c>
      <c r="J6" s="8">
        <f>I6/H6</f>
        <v>0.96707636425071808</v>
      </c>
      <c r="K6" s="28">
        <f>(1/J6-1.0148)*100</f>
        <v>1.9244504618609826</v>
      </c>
      <c r="L6" s="107" t="s">
        <v>5</v>
      </c>
      <c r="N6" s="20" t="s">
        <v>17</v>
      </c>
      <c r="O6" s="21">
        <v>160</v>
      </c>
      <c r="Q6" s="93" t="s">
        <v>61</v>
      </c>
      <c r="R6" s="93">
        <v>0.99885000000000002</v>
      </c>
      <c r="S6" s="94" t="s">
        <v>64</v>
      </c>
    </row>
    <row r="7" spans="1:25" ht="21" x14ac:dyDescent="0.25">
      <c r="A7" s="1"/>
      <c r="B7" s="2"/>
      <c r="C7" s="3"/>
      <c r="D7" s="4"/>
      <c r="E7" s="5"/>
      <c r="F7" s="6"/>
      <c r="G7" s="7"/>
      <c r="H7" s="8"/>
      <c r="I7" s="8"/>
      <c r="J7" s="8"/>
      <c r="K7" s="28"/>
      <c r="L7" s="107"/>
      <c r="N7" s="20" t="s">
        <v>19</v>
      </c>
      <c r="O7" s="21">
        <v>213</v>
      </c>
      <c r="Q7" s="93" t="s">
        <v>76</v>
      </c>
      <c r="R7" s="93">
        <f>(R3-1)+(1-R4)</f>
        <v>1.2431981000000092E-2</v>
      </c>
      <c r="S7" s="94" t="s">
        <v>78</v>
      </c>
    </row>
    <row r="8" spans="1:25" ht="21" x14ac:dyDescent="0.25">
      <c r="A8" s="1"/>
      <c r="B8" s="2"/>
      <c r="C8" s="3"/>
      <c r="D8" s="4"/>
      <c r="E8" s="5"/>
      <c r="F8" s="6"/>
      <c r="G8" s="7"/>
      <c r="H8" s="8"/>
      <c r="I8" s="8"/>
      <c r="J8" s="8"/>
      <c r="K8" s="28"/>
      <c r="L8" s="107"/>
      <c r="N8" s="20" t="s">
        <v>20</v>
      </c>
      <c r="O8" s="21">
        <v>34</v>
      </c>
      <c r="Q8" s="93" t="s">
        <v>80</v>
      </c>
      <c r="R8" s="93">
        <f>(R5-1)+(1-R6)</f>
        <v>2.2999999999999687E-3</v>
      </c>
      <c r="S8" s="94" t="s">
        <v>79</v>
      </c>
      <c r="W8" t="s">
        <v>6</v>
      </c>
    </row>
    <row r="9" spans="1:25" ht="21" x14ac:dyDescent="0.25">
      <c r="A9" s="1"/>
      <c r="B9" s="2"/>
      <c r="C9" s="3"/>
      <c r="D9" s="4"/>
      <c r="E9" s="5"/>
      <c r="F9" s="6"/>
      <c r="G9" s="7"/>
      <c r="H9" s="8"/>
      <c r="I9" s="8"/>
      <c r="J9" s="8"/>
      <c r="K9" s="28"/>
      <c r="L9" s="107"/>
      <c r="N9" s="20" t="s">
        <v>21</v>
      </c>
      <c r="O9" s="21">
        <v>60</v>
      </c>
    </row>
    <row r="10" spans="1:25" ht="21" x14ac:dyDescent="0.25">
      <c r="A10" s="1" t="s">
        <v>11</v>
      </c>
      <c r="B10" s="2" t="s">
        <v>1</v>
      </c>
      <c r="C10" s="3">
        <v>1870</v>
      </c>
      <c r="D10" s="4">
        <v>329.75</v>
      </c>
      <c r="E10" s="22" t="s">
        <v>8</v>
      </c>
      <c r="F10" s="23">
        <v>121.8</v>
      </c>
      <c r="G10" s="24">
        <f>C10*D10*0.9912/(F10*1.003631981)</f>
        <v>4999.9530242357723</v>
      </c>
      <c r="H10" s="25">
        <f>C10/F10</f>
        <v>15.353037766830871</v>
      </c>
      <c r="I10" s="26">
        <f>$O$14/$O$13</f>
        <v>20.103448275862068</v>
      </c>
      <c r="J10" s="25">
        <f>I10/H10</f>
        <v>1.3094117647058823</v>
      </c>
      <c r="K10" s="27">
        <f>(1/J10-1.0256)*100</f>
        <v>-26.189829290206646</v>
      </c>
      <c r="L10" s="107"/>
      <c r="N10" s="20" t="s">
        <v>22</v>
      </c>
      <c r="O10" s="21">
        <v>57</v>
      </c>
    </row>
    <row r="11" spans="1:25" ht="21" x14ac:dyDescent="0.25">
      <c r="A11" s="1"/>
      <c r="B11" s="2"/>
      <c r="C11" s="3"/>
      <c r="D11" s="4"/>
      <c r="E11" s="5"/>
      <c r="F11" s="6"/>
      <c r="G11" s="7"/>
      <c r="H11" s="8"/>
      <c r="I11" s="8"/>
      <c r="J11" s="8"/>
      <c r="K11" s="28"/>
      <c r="L11" s="107"/>
      <c r="N11" s="36" t="s">
        <v>23</v>
      </c>
      <c r="O11" s="37">
        <v>2148</v>
      </c>
    </row>
    <row r="12" spans="1:25" ht="21" x14ac:dyDescent="0.25">
      <c r="A12" s="1"/>
      <c r="B12" s="2"/>
      <c r="C12" s="3"/>
      <c r="D12" s="4"/>
      <c r="E12" s="5"/>
      <c r="F12" s="6"/>
      <c r="G12" s="7"/>
      <c r="H12" s="8"/>
      <c r="I12" s="8"/>
      <c r="J12" s="8"/>
      <c r="K12" s="28"/>
      <c r="L12" s="107"/>
      <c r="N12" s="20" t="s">
        <v>24</v>
      </c>
      <c r="O12" s="20">
        <v>260</v>
      </c>
    </row>
    <row r="13" spans="1:25" ht="21" x14ac:dyDescent="0.25">
      <c r="N13" s="38" t="s">
        <v>8</v>
      </c>
      <c r="O13" s="38">
        <v>116</v>
      </c>
    </row>
    <row r="14" spans="1:25" ht="21" x14ac:dyDescent="0.25">
      <c r="N14" s="43" t="s">
        <v>1</v>
      </c>
      <c r="O14" s="44">
        <v>2332</v>
      </c>
      <c r="Y14" t="s">
        <v>6</v>
      </c>
    </row>
    <row r="15" spans="1:25" ht="21" x14ac:dyDescent="0.25">
      <c r="N15" s="45" t="s">
        <v>7</v>
      </c>
      <c r="O15" s="46">
        <v>580</v>
      </c>
      <c r="W15" t="s">
        <v>6</v>
      </c>
    </row>
    <row r="16" spans="1:25" ht="21" x14ac:dyDescent="0.25">
      <c r="N16" s="47" t="s">
        <v>2</v>
      </c>
      <c r="O16" s="47">
        <v>420</v>
      </c>
      <c r="W16" t="s">
        <v>6</v>
      </c>
    </row>
    <row r="17" spans="1:25" ht="21" x14ac:dyDescent="0.25">
      <c r="N17" s="48" t="s">
        <v>4</v>
      </c>
      <c r="O17" s="48">
        <v>1925</v>
      </c>
    </row>
    <row r="18" spans="1:25" ht="21" x14ac:dyDescent="0.25">
      <c r="N18" s="48" t="s">
        <v>26</v>
      </c>
      <c r="O18" s="48">
        <v>18670</v>
      </c>
      <c r="Y18" t="s">
        <v>6</v>
      </c>
    </row>
    <row r="19" spans="1:25" ht="23.25" x14ac:dyDescent="0.25">
      <c r="N19" s="49" t="s">
        <v>18</v>
      </c>
      <c r="O19" s="50">
        <v>340000</v>
      </c>
    </row>
    <row r="20" spans="1:25" ht="21" x14ac:dyDescent="0.25">
      <c r="N20" s="48" t="s">
        <v>9</v>
      </c>
      <c r="O20" s="48">
        <v>16398</v>
      </c>
    </row>
    <row r="21" spans="1:25" ht="21" x14ac:dyDescent="0.25">
      <c r="N21" s="48" t="s">
        <v>34</v>
      </c>
      <c r="O21" s="48">
        <v>4300</v>
      </c>
    </row>
    <row r="24" spans="1:25" x14ac:dyDescent="0.25"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6" spans="1:25" ht="37.5" x14ac:dyDescent="0.25">
      <c r="A26" s="109" t="s">
        <v>65</v>
      </c>
      <c r="B26" s="109" t="s">
        <v>13</v>
      </c>
      <c r="C26" s="109" t="s">
        <v>66</v>
      </c>
      <c r="D26" s="109" t="s">
        <v>67</v>
      </c>
      <c r="E26" s="109" t="s">
        <v>15</v>
      </c>
      <c r="F26" s="110" t="s">
        <v>27</v>
      </c>
      <c r="G26" s="110" t="s">
        <v>81</v>
      </c>
      <c r="H26" s="109" t="s">
        <v>28</v>
      </c>
      <c r="I26" s="109" t="s">
        <v>29</v>
      </c>
      <c r="J26" s="110" t="s">
        <v>30</v>
      </c>
      <c r="K26" s="111" t="s">
        <v>31</v>
      </c>
      <c r="L26" s="109" t="s">
        <v>32</v>
      </c>
      <c r="M26" s="109" t="s">
        <v>33</v>
      </c>
      <c r="N26" s="109"/>
      <c r="O26" s="109"/>
    </row>
    <row r="27" spans="1:25" ht="23.25" x14ac:dyDescent="0.25">
      <c r="A27" s="52" t="s">
        <v>35</v>
      </c>
      <c r="B27" s="2" t="s">
        <v>1</v>
      </c>
      <c r="C27" s="3">
        <v>2304.1</v>
      </c>
      <c r="D27" s="4">
        <v>1</v>
      </c>
      <c r="E27" s="39" t="s">
        <v>23</v>
      </c>
      <c r="F27" s="40">
        <v>2044.8</v>
      </c>
      <c r="G27" s="41" t="s">
        <v>21</v>
      </c>
      <c r="H27" s="42">
        <v>101.3</v>
      </c>
      <c r="I27" s="42">
        <v>2044.8</v>
      </c>
      <c r="J27" s="42">
        <f t="shared" ref="J27" si="1">C27*D27*0.9912/(F27*1.00115)</f>
        <v>1.1156105924196564</v>
      </c>
      <c r="K27" s="53">
        <f t="shared" ref="K27" si="2">J27*H27*0.99885/(I27*1.00115-H27*0.99885)</f>
        <v>5.8007834191533339E-2</v>
      </c>
      <c r="L27" s="54">
        <f t="shared" ref="L27" si="3">K27+J27</f>
        <v>1.1736184266111898</v>
      </c>
      <c r="M27" s="53">
        <f>L27*O3*1.00115/($O$11*0.99885)</f>
        <v>4.5453738879575933E-2</v>
      </c>
      <c r="N27" s="4">
        <f>(L27-M27)*$O$11*0.99885/($O$14*1.003631981)</f>
        <v>1.0341987654950218</v>
      </c>
      <c r="O27" s="91"/>
    </row>
    <row r="28" spans="1:25" ht="23.25" x14ac:dyDescent="0.25">
      <c r="A28" s="52"/>
      <c r="B28" s="14"/>
      <c r="C28" s="55"/>
      <c r="D28" s="17"/>
      <c r="E28" s="56"/>
      <c r="F28" s="57"/>
      <c r="G28" s="57"/>
      <c r="H28" s="57"/>
      <c r="I28" s="57"/>
      <c r="J28" s="58"/>
      <c r="K28" s="58"/>
      <c r="L28" s="59"/>
      <c r="M28" s="58"/>
      <c r="N28" s="91"/>
      <c r="O28" s="91"/>
    </row>
    <row r="29" spans="1:25" ht="23.25" x14ac:dyDescent="0.25">
      <c r="A29" s="61" t="s">
        <v>25</v>
      </c>
      <c r="B29" s="62" t="s">
        <v>18</v>
      </c>
      <c r="C29" s="63">
        <v>315580</v>
      </c>
      <c r="D29" s="64">
        <v>170</v>
      </c>
      <c r="E29" s="39" t="s">
        <v>23</v>
      </c>
      <c r="F29" s="40">
        <v>2038.3</v>
      </c>
      <c r="G29" s="41" t="s">
        <v>17</v>
      </c>
      <c r="H29" s="42">
        <v>193</v>
      </c>
      <c r="I29" s="42">
        <v>2038</v>
      </c>
      <c r="J29" s="42">
        <f>C29*D29*0.99885/(F29*1.00115)</f>
        <v>26259.799812367572</v>
      </c>
      <c r="K29" s="53">
        <f>J29*H29*0.99885/(I29*1.00115-H29*0.99885)</f>
        <v>2739.9908637717886</v>
      </c>
      <c r="L29" s="54">
        <f t="shared" ref="L29:L38" si="4">K29+J29</f>
        <v>28999.790676139361</v>
      </c>
      <c r="M29" s="53">
        <f>L29*O6*1.00115/($O$11*0.99885)</f>
        <v>2165.1074106109859</v>
      </c>
      <c r="N29" s="64">
        <f>(L29-M29)*$O$11*0.99885/($O$19*1.00115)</f>
        <v>169.1425819711815</v>
      </c>
      <c r="O29" s="5">
        <f t="shared" ref="O29:O32" si="5">(N29-D29)*100/D29</f>
        <v>-0.50436354636382386</v>
      </c>
    </row>
    <row r="30" spans="1:25" ht="23.25" x14ac:dyDescent="0.25">
      <c r="A30" s="61" t="s">
        <v>36</v>
      </c>
      <c r="B30" s="62" t="s">
        <v>18</v>
      </c>
      <c r="C30" s="63">
        <v>320000</v>
      </c>
      <c r="D30" s="64">
        <v>167.18551826999999</v>
      </c>
      <c r="E30" s="39" t="s">
        <v>23</v>
      </c>
      <c r="F30" s="40">
        <v>2095</v>
      </c>
      <c r="G30" s="41" t="s">
        <v>19</v>
      </c>
      <c r="H30" s="42">
        <v>255</v>
      </c>
      <c r="I30" s="42">
        <v>2095</v>
      </c>
      <c r="J30" s="42">
        <f>C30*D30*0.99885/(F30*1.00115)</f>
        <v>25478.02322111273</v>
      </c>
      <c r="K30" s="53">
        <f>J30*H30*0.99885/(I30*1.00115-H30*0.99885)</f>
        <v>3521.6886562394934</v>
      </c>
      <c r="L30" s="54">
        <f t="shared" si="4"/>
        <v>28999.711877352223</v>
      </c>
      <c r="M30" s="53">
        <f>L30*O7*1.00115/($O$11*0.99885)</f>
        <v>2882.2914085371267</v>
      </c>
      <c r="N30" s="64">
        <f>(L30-M30)*$O$11*0.99885/($O$19*1.00115)</f>
        <v>164.62157905165756</v>
      </c>
      <c r="O30" s="5">
        <f t="shared" si="5"/>
        <v>-1.5335892994043512</v>
      </c>
    </row>
    <row r="31" spans="1:25" ht="23.25" x14ac:dyDescent="0.25">
      <c r="A31" s="61" t="s">
        <v>37</v>
      </c>
      <c r="B31" s="62" t="s">
        <v>18</v>
      </c>
      <c r="C31" s="63">
        <v>320000</v>
      </c>
      <c r="D31" s="64">
        <v>223.345</v>
      </c>
      <c r="E31" s="39" t="s">
        <v>23</v>
      </c>
      <c r="F31" s="40">
        <v>2095</v>
      </c>
      <c r="G31" s="41" t="s">
        <v>22</v>
      </c>
      <c r="H31" s="42">
        <v>57.8</v>
      </c>
      <c r="I31" s="42">
        <v>2095</v>
      </c>
      <c r="J31" s="42">
        <f>C31*D31*0.99885/(F31*1.00115)</f>
        <v>34036.375609576433</v>
      </c>
      <c r="K31" s="53">
        <f>J31*H31*0.99885/(I31*1.00115-H31*0.99885)</f>
        <v>963.40810114009162</v>
      </c>
      <c r="L31" s="54">
        <f t="shared" si="4"/>
        <v>34999.783710716525</v>
      </c>
      <c r="M31" s="53">
        <f>L31*O10*1.00115/($O$11*0.99885)</f>
        <v>930.90382959634451</v>
      </c>
      <c r="N31" s="64">
        <f>(L31-M31)*$O$11*0.99885/($O$19*1.00115)</f>
        <v>214.74068655623623</v>
      </c>
      <c r="O31" s="5">
        <f t="shared" si="5"/>
        <v>-3.8524764126189401</v>
      </c>
    </row>
    <row r="32" spans="1:25" ht="23.25" x14ac:dyDescent="0.25">
      <c r="A32" s="61" t="s">
        <v>38</v>
      </c>
      <c r="B32" s="62" t="s">
        <v>18</v>
      </c>
      <c r="C32" s="63">
        <v>320000</v>
      </c>
      <c r="D32" s="64">
        <v>18.344999999999999</v>
      </c>
      <c r="E32" s="39" t="s">
        <v>4</v>
      </c>
      <c r="F32" s="40">
        <v>1928</v>
      </c>
      <c r="G32" s="41" t="s">
        <v>10</v>
      </c>
      <c r="H32" s="42">
        <v>465</v>
      </c>
      <c r="I32" s="42">
        <v>1928</v>
      </c>
      <c r="J32" s="42">
        <f>C32*D32*0.99885/(F32*1.00115)</f>
        <v>3037.8182517490777</v>
      </c>
      <c r="K32" s="53">
        <f>J32*H32*0.99885/(I32*1.00115-H32*0.99885)</f>
        <v>962.61923018638879</v>
      </c>
      <c r="L32" s="54">
        <f t="shared" si="4"/>
        <v>4000.4374819354666</v>
      </c>
      <c r="M32" s="53">
        <f>L32*O2*1.00115/($O$17*0.99885)</f>
        <v>833.17383511343337</v>
      </c>
      <c r="N32" s="64">
        <f>(L32-M32)*$O$17*0.99885/($O$19*1.00115)</f>
        <v>17.891104612737301</v>
      </c>
      <c r="O32" s="5">
        <f t="shared" si="5"/>
        <v>-2.474218518739153</v>
      </c>
      <c r="U32" t="s">
        <v>6</v>
      </c>
    </row>
    <row r="33" spans="1:23" ht="23.25" x14ac:dyDescent="0.25">
      <c r="A33" s="61" t="s">
        <v>39</v>
      </c>
      <c r="B33" s="62" t="s">
        <v>18</v>
      </c>
      <c r="C33" s="63">
        <v>358213</v>
      </c>
      <c r="D33" s="64">
        <v>621</v>
      </c>
      <c r="E33" s="33" t="s">
        <v>8</v>
      </c>
      <c r="F33" s="34">
        <v>126.4</v>
      </c>
      <c r="G33" s="35" t="s">
        <v>40</v>
      </c>
      <c r="H33" s="56">
        <v>3.55</v>
      </c>
      <c r="I33" s="56">
        <v>126.4</v>
      </c>
      <c r="J33" s="56">
        <f>C33*D33*0.99885/(F33*1.003631981)</f>
        <v>1751506.0883717409</v>
      </c>
      <c r="K33" s="58">
        <f>J33*H33*0.99885/(I33*1.00115-H33*0.99885)</f>
        <v>50493.693010957359</v>
      </c>
      <c r="L33" s="59">
        <f t="shared" si="4"/>
        <v>1801999.7813826983</v>
      </c>
      <c r="M33" s="58">
        <f>L33*O5*1.00115/($O$13*0.9912)</f>
        <v>117678.15925388821</v>
      </c>
      <c r="N33" s="64">
        <f>(L33-M33)*$O$13*0.9912/($O$19*1.00115)</f>
        <v>568.93969774486652</v>
      </c>
      <c r="O33" s="5">
        <f>(N33-D33)*100/D33</f>
        <v>-8.3833014903596599</v>
      </c>
    </row>
    <row r="34" spans="1:23" ht="23.25" x14ac:dyDescent="0.25">
      <c r="A34" s="65" t="s">
        <v>41</v>
      </c>
      <c r="B34" s="14" t="s">
        <v>1</v>
      </c>
      <c r="C34" s="55">
        <v>2376.5</v>
      </c>
      <c r="D34" s="17">
        <v>0.1</v>
      </c>
      <c r="E34" s="33" t="s">
        <v>8</v>
      </c>
      <c r="F34" s="34">
        <v>118.9</v>
      </c>
      <c r="G34" s="35" t="s">
        <v>14</v>
      </c>
      <c r="H34" s="56">
        <v>1.7</v>
      </c>
      <c r="I34" s="56">
        <v>118.9</v>
      </c>
      <c r="J34" s="56">
        <f>C34*D34*0.9912/(F34*1.003631981)</f>
        <v>1.9739800792840705</v>
      </c>
      <c r="K34" s="58">
        <f>J34*H34*0.99885/(I34*1.003631981-H34*0.99885)</f>
        <v>2.8494421448584936E-2</v>
      </c>
      <c r="L34" s="59">
        <f t="shared" si="4"/>
        <v>2.0024745007326552</v>
      </c>
      <c r="M34" s="58">
        <f>L34*O4*1.00115/($O$13*0.9912)</f>
        <v>0</v>
      </c>
      <c r="N34" s="64">
        <f>(L34-M34)*$O$13*0.9912/($O$14*1.003631981)</f>
        <v>9.8374658845174032E-2</v>
      </c>
      <c r="O34" s="5">
        <f>(N34-D34)*100/D34</f>
        <v>-1.6253411548259737</v>
      </c>
    </row>
    <row r="35" spans="1:23" ht="23.25" x14ac:dyDescent="0.25">
      <c r="A35" s="65" t="s">
        <v>41</v>
      </c>
      <c r="B35" s="14" t="s">
        <v>1</v>
      </c>
      <c r="C35" s="55">
        <v>2376.5</v>
      </c>
      <c r="D35" s="17">
        <v>0.1</v>
      </c>
      <c r="E35" s="39" t="s">
        <v>42</v>
      </c>
      <c r="F35" s="40">
        <v>2075</v>
      </c>
      <c r="G35" s="66" t="s">
        <v>17</v>
      </c>
      <c r="H35" s="67">
        <v>155</v>
      </c>
      <c r="I35" s="67">
        <v>2075</v>
      </c>
      <c r="J35" s="67">
        <f t="shared" ref="J35" si="6">C35*D35*0.9912/(F35*1.00115)</f>
        <v>0.11339185478867977</v>
      </c>
      <c r="K35" s="68">
        <f t="shared" ref="K35" si="7">J35*H35*0.99885/(I35*1.00115-H35*0.99885)</f>
        <v>9.1313063328326734E-3</v>
      </c>
      <c r="L35" s="69">
        <f t="shared" si="4"/>
        <v>0.12252316112151244</v>
      </c>
      <c r="M35" s="68">
        <f>L35*O6*1.00115/($O$11*0.99885)</f>
        <v>9.1475075485264058E-3</v>
      </c>
      <c r="N35" s="64">
        <f>(L35-M35)*$O$11*0.99885/($O$14*1.003631981)</f>
        <v>0.10393248630936361</v>
      </c>
      <c r="O35" s="5">
        <f t="shared" ref="O35:O36" si="8">(N35-D35)*100/D35</f>
        <v>3.9324863093636031</v>
      </c>
    </row>
    <row r="36" spans="1:23" ht="23.25" x14ac:dyDescent="0.25">
      <c r="A36" s="65" t="s">
        <v>43</v>
      </c>
      <c r="B36" s="14" t="s">
        <v>1</v>
      </c>
      <c r="C36" s="55">
        <v>2169</v>
      </c>
      <c r="D36" s="17">
        <v>0.1</v>
      </c>
      <c r="E36" s="39" t="s">
        <v>4</v>
      </c>
      <c r="F36" s="40">
        <v>1817</v>
      </c>
      <c r="G36" s="66" t="s">
        <v>10</v>
      </c>
      <c r="H36" s="67">
        <v>390</v>
      </c>
      <c r="I36" s="67">
        <v>1817</v>
      </c>
      <c r="J36" s="67">
        <f>C36*D36*0.9912/(F36*1.00115)</f>
        <v>0.11818619924456165</v>
      </c>
      <c r="K36" s="68">
        <f>J36*H36*0.99885/(I36*1.00115-H36*0.99885)</f>
        <v>3.2205936172890165E-2</v>
      </c>
      <c r="L36" s="69">
        <f t="shared" si="4"/>
        <v>0.15039213541745183</v>
      </c>
      <c r="M36" s="68">
        <f>L36*O2*1.00115/($O$17*0.99885)</f>
        <v>3.1322272327084073E-2</v>
      </c>
      <c r="N36" s="64">
        <f>(L36-M36)*$O$17*0.99885/($O$14*1.003631981)</f>
        <v>9.7820487803807643E-2</v>
      </c>
      <c r="O36" s="5">
        <f t="shared" si="8"/>
        <v>-2.1795121961923623</v>
      </c>
    </row>
    <row r="37" spans="1:23" ht="23.25" x14ac:dyDescent="0.25">
      <c r="A37" s="65" t="s">
        <v>44</v>
      </c>
      <c r="B37" s="14" t="s">
        <v>45</v>
      </c>
      <c r="C37" s="55">
        <v>157273500</v>
      </c>
      <c r="D37" s="17">
        <v>1</v>
      </c>
      <c r="E37" s="70" t="s">
        <v>4</v>
      </c>
      <c r="F37" s="71">
        <v>1911</v>
      </c>
      <c r="G37" s="32" t="s">
        <v>10</v>
      </c>
      <c r="H37" s="72">
        <v>484</v>
      </c>
      <c r="I37" s="72">
        <v>1911</v>
      </c>
      <c r="J37" s="72">
        <f>C37*D37/(F37*1.00115)</f>
        <v>82204.52288345639</v>
      </c>
      <c r="K37" s="73">
        <f>J37*H37*0.99885/(I37*1.00115-H37*0.99885)</f>
        <v>27795.849558171245</v>
      </c>
      <c r="L37" s="74">
        <f t="shared" si="4"/>
        <v>110000.37244162764</v>
      </c>
      <c r="M37" s="73">
        <f>L37*O2*1.00115/($O$17*0.99885)</f>
        <v>22909.852381133995</v>
      </c>
      <c r="N37" s="64">
        <f>(L37-M37)*$O$17*0.99885</f>
        <v>167456454.47766635</v>
      </c>
      <c r="O37" s="5">
        <f>(N37-C37)*100/C37</f>
        <v>6.4746791275493631</v>
      </c>
    </row>
    <row r="38" spans="1:23" ht="23.25" x14ac:dyDescent="0.25">
      <c r="A38" s="65" t="s">
        <v>44</v>
      </c>
      <c r="B38" s="14" t="s">
        <v>45</v>
      </c>
      <c r="C38" s="55">
        <v>190227000</v>
      </c>
      <c r="D38" s="17">
        <v>1</v>
      </c>
      <c r="E38" s="70" t="s">
        <v>4</v>
      </c>
      <c r="F38" s="71">
        <v>1827</v>
      </c>
      <c r="G38" s="32" t="s">
        <v>46</v>
      </c>
      <c r="H38" s="72">
        <v>0</v>
      </c>
      <c r="I38" s="72">
        <v>1911</v>
      </c>
      <c r="J38" s="72">
        <f>C38*D38/(F38*1.00115)</f>
        <v>104000.2683285322</v>
      </c>
      <c r="K38" s="73">
        <f>J38*H38*0.99885/(I38*1.00115-H38*0.99885)</f>
        <v>0</v>
      </c>
      <c r="L38" s="74">
        <f t="shared" si="4"/>
        <v>104000.2683285322</v>
      </c>
      <c r="M38" s="73">
        <f>L38*0*1.00115/($O$17*0.99885)</f>
        <v>0</v>
      </c>
      <c r="N38" s="64">
        <f>(L38-M38)*$O$17*0.99885</f>
        <v>199970285.93841219</v>
      </c>
      <c r="O38" s="5">
        <f>(N38-C38)*100/C38</f>
        <v>5.1219258771952401</v>
      </c>
    </row>
    <row r="39" spans="1:23" ht="23.25" x14ac:dyDescent="0.25">
      <c r="A39" s="65"/>
      <c r="B39" s="14"/>
      <c r="C39" s="55"/>
      <c r="D39" s="17"/>
      <c r="E39" s="56"/>
      <c r="F39" s="57"/>
      <c r="G39" s="57"/>
      <c r="H39" s="57"/>
      <c r="I39" s="57"/>
      <c r="J39" s="58"/>
      <c r="K39" s="58"/>
      <c r="L39" s="59"/>
      <c r="M39" s="58"/>
      <c r="N39" s="64"/>
      <c r="O39" s="5"/>
    </row>
    <row r="40" spans="1:23" ht="21" x14ac:dyDescent="0.25">
      <c r="A40" s="2"/>
      <c r="B40" s="2"/>
      <c r="C40" s="3"/>
      <c r="D40" s="2"/>
      <c r="E40" s="78"/>
      <c r="F40" s="78"/>
      <c r="G40" s="78"/>
      <c r="H40" s="78"/>
      <c r="I40" s="78"/>
      <c r="J40" s="78"/>
      <c r="K40" s="79"/>
      <c r="L40" s="78"/>
      <c r="O40" t="s">
        <v>6</v>
      </c>
    </row>
    <row r="41" spans="1:23" ht="18.75" customHeight="1" x14ac:dyDescent="0.25">
      <c r="A41" s="2"/>
      <c r="B41" s="2"/>
      <c r="C41" s="3"/>
      <c r="D41" s="2"/>
      <c r="E41" s="80"/>
      <c r="F41" s="80"/>
      <c r="G41" s="29"/>
      <c r="H41" s="80"/>
      <c r="I41" s="80"/>
      <c r="J41" s="19"/>
      <c r="K41" s="19"/>
      <c r="L41" s="19"/>
      <c r="M41" t="s">
        <v>6</v>
      </c>
      <c r="N41" t="s">
        <v>6</v>
      </c>
      <c r="O41" t="s">
        <v>6</v>
      </c>
    </row>
    <row r="42" spans="1:23" ht="21.75" customHeight="1" x14ac:dyDescent="0.25">
      <c r="A42" s="2"/>
      <c r="B42" s="2"/>
      <c r="C42" s="3"/>
      <c r="D42" s="2"/>
      <c r="E42" s="80"/>
      <c r="F42" s="80"/>
      <c r="G42" s="29"/>
      <c r="H42" s="80"/>
      <c r="I42" s="80"/>
      <c r="J42" s="19"/>
      <c r="K42" s="19"/>
      <c r="L42" s="19"/>
    </row>
    <row r="43" spans="1:23" ht="21" x14ac:dyDescent="0.25">
      <c r="A43" s="11" t="s">
        <v>47</v>
      </c>
      <c r="B43" s="11" t="s">
        <v>7</v>
      </c>
      <c r="C43" s="12">
        <v>528</v>
      </c>
      <c r="D43" s="13">
        <v>1</v>
      </c>
      <c r="E43" s="81" t="s">
        <v>26</v>
      </c>
      <c r="F43" s="81">
        <v>13559.5</v>
      </c>
      <c r="G43" s="24">
        <f>C43*D43*0.9912/(F43*1.00115)</f>
        <v>3.8552486057752494E-2</v>
      </c>
      <c r="H43" s="81">
        <f>C43/F43</f>
        <v>3.8939488919207933E-2</v>
      </c>
      <c r="I43" s="81">
        <f>$O$15/$O$18</f>
        <v>3.1065881092662024E-2</v>
      </c>
      <c r="J43" s="81">
        <f>I43/H43</f>
        <v>0.79779889143172489</v>
      </c>
      <c r="K43" s="38">
        <f>(1/J43-1.015)*100</f>
        <v>23.844872089933133</v>
      </c>
      <c r="L43" s="81"/>
      <c r="M43" t="s">
        <v>6</v>
      </c>
      <c r="O43" t="s">
        <v>6</v>
      </c>
      <c r="U43" s="10"/>
    </row>
    <row r="44" spans="1:23" ht="18.75" customHeight="1" x14ac:dyDescent="0.25">
      <c r="A44" s="11"/>
      <c r="B44" s="11"/>
      <c r="C44" s="12"/>
      <c r="D44" s="13"/>
      <c r="E44" s="81"/>
      <c r="F44" s="81"/>
      <c r="G44" s="24"/>
      <c r="H44" s="81"/>
      <c r="I44" s="81"/>
      <c r="J44" s="81"/>
      <c r="K44" s="38"/>
      <c r="L44" s="81"/>
      <c r="O44" t="s">
        <v>6</v>
      </c>
      <c r="U44" s="10"/>
    </row>
    <row r="45" spans="1:23" ht="20.25" customHeight="1" x14ac:dyDescent="0.25">
      <c r="A45" s="33"/>
      <c r="B45" s="33"/>
      <c r="C45" s="34"/>
      <c r="D45" s="35"/>
      <c r="E45" s="81"/>
      <c r="F45" s="81"/>
      <c r="G45" s="24"/>
      <c r="H45" s="81"/>
      <c r="I45" s="81"/>
      <c r="J45" s="81"/>
      <c r="K45" s="38"/>
      <c r="L45" s="81"/>
      <c r="M45" t="s">
        <v>6</v>
      </c>
      <c r="U45" s="10"/>
      <c r="V45" s="60"/>
    </row>
    <row r="46" spans="1:23" ht="21" x14ac:dyDescent="0.25">
      <c r="A46" s="81" t="s">
        <v>48</v>
      </c>
      <c r="B46" s="81" t="s">
        <v>49</v>
      </c>
      <c r="C46" s="15">
        <v>8724.2999999999993</v>
      </c>
      <c r="D46" s="24">
        <v>71134</v>
      </c>
      <c r="E46" s="4" t="s">
        <v>1</v>
      </c>
      <c r="F46" s="4">
        <v>1719.9647014073792</v>
      </c>
      <c r="G46" s="4">
        <f t="shared" ref="G46:G66" si="9">C46*D46*0.99885/(F46*1.003631981)</f>
        <v>359098.89592002367</v>
      </c>
      <c r="H46" s="2">
        <f t="shared" ref="H46:H66" si="10">C46/F46</f>
        <v>5.0723715392887128</v>
      </c>
      <c r="I46" s="2">
        <f>$O$19/$O$14</f>
        <v>145.79759862778729</v>
      </c>
      <c r="J46" s="19">
        <f>I46/H46</f>
        <v>28.743477779278006</v>
      </c>
      <c r="K46" s="77">
        <f t="shared" ref="K46:K48" si="11">(1/J46-1.015)*100</f>
        <v>-98.020949873640788</v>
      </c>
      <c r="L46" s="75"/>
      <c r="M46" t="s">
        <v>6</v>
      </c>
      <c r="O46" t="s">
        <v>6</v>
      </c>
      <c r="U46" s="10"/>
      <c r="V46" s="10"/>
      <c r="W46" s="10"/>
    </row>
    <row r="47" spans="1:23" ht="21" x14ac:dyDescent="0.25">
      <c r="A47" s="81" t="s">
        <v>48</v>
      </c>
      <c r="B47" s="81" t="s">
        <v>26</v>
      </c>
      <c r="C47" s="15">
        <v>14116.9</v>
      </c>
      <c r="D47" s="24">
        <v>22382</v>
      </c>
      <c r="E47" s="4" t="s">
        <v>1</v>
      </c>
      <c r="F47" s="4">
        <v>1720.6021300874859</v>
      </c>
      <c r="G47" s="4">
        <f t="shared" si="9"/>
        <v>182761.01261804847</v>
      </c>
      <c r="H47" s="2">
        <f t="shared" si="10"/>
        <v>8.2046277597495543</v>
      </c>
      <c r="I47" s="2">
        <f>$O$18/$O$14</f>
        <v>8.0060034305317327</v>
      </c>
      <c r="J47" s="19">
        <f>I47/H47</f>
        <v>0.97579118333774539</v>
      </c>
      <c r="K47" s="77">
        <f t="shared" si="11"/>
        <v>0.98094234459540353</v>
      </c>
      <c r="L47" s="75"/>
      <c r="T47" s="10"/>
      <c r="U47" s="10"/>
    </row>
    <row r="48" spans="1:23" ht="21" x14ac:dyDescent="0.25">
      <c r="A48" s="81" t="s">
        <v>50</v>
      </c>
      <c r="B48" s="81" t="s">
        <v>26</v>
      </c>
      <c r="C48" s="15">
        <v>14385</v>
      </c>
      <c r="D48" s="24">
        <v>15000</v>
      </c>
      <c r="E48" s="4" t="s">
        <v>1</v>
      </c>
      <c r="F48" s="4">
        <v>1709.5837200456449</v>
      </c>
      <c r="G48" s="4">
        <f t="shared" si="9"/>
        <v>125613.56285967458</v>
      </c>
      <c r="H48" s="2">
        <f t="shared" si="10"/>
        <v>8.4143290739899701</v>
      </c>
      <c r="I48" s="2">
        <f>$O$18/$O$14</f>
        <v>8.0060034305317327</v>
      </c>
      <c r="J48" s="19">
        <f t="shared" ref="J48:J51" si="12">I48/H48</f>
        <v>0.95147258446066285</v>
      </c>
      <c r="K48" s="77">
        <f t="shared" si="11"/>
        <v>3.6002431737793827</v>
      </c>
      <c r="L48" s="75"/>
      <c r="M48" t="s">
        <v>6</v>
      </c>
      <c r="T48" s="10"/>
      <c r="U48" s="10"/>
    </row>
    <row r="49" spans="1:21" ht="21" x14ac:dyDescent="0.25">
      <c r="A49" s="81" t="s">
        <v>51</v>
      </c>
      <c r="B49" s="81" t="s">
        <v>26</v>
      </c>
      <c r="C49" s="15">
        <v>14647</v>
      </c>
      <c r="D49" s="24">
        <v>6000</v>
      </c>
      <c r="E49" s="4" t="s">
        <v>52</v>
      </c>
      <c r="F49" s="4">
        <v>1711.9513122860403</v>
      </c>
      <c r="G49" s="4">
        <f t="shared" si="9"/>
        <v>51089.812037703196</v>
      </c>
      <c r="H49" s="2">
        <f t="shared" si="10"/>
        <v>8.5557339714534564</v>
      </c>
      <c r="I49" s="2">
        <f>$O$18/$O$14</f>
        <v>8.0060034305317327</v>
      </c>
      <c r="J49" s="19">
        <f t="shared" si="12"/>
        <v>0.93574712084831979</v>
      </c>
      <c r="K49" s="77">
        <f>(1/J49-1.015)*100</f>
        <v>5.3664789578439231</v>
      </c>
      <c r="L49" s="75"/>
      <c r="T49" s="10"/>
      <c r="U49" s="10"/>
    </row>
    <row r="50" spans="1:21" ht="25.5" customHeight="1" x14ac:dyDescent="0.25">
      <c r="A50" s="81" t="s">
        <v>53</v>
      </c>
      <c r="B50" s="81" t="s">
        <v>26</v>
      </c>
      <c r="C50" s="15">
        <v>14870</v>
      </c>
      <c r="D50" s="24">
        <v>3642</v>
      </c>
      <c r="E50" s="4" t="s">
        <v>1</v>
      </c>
      <c r="F50" s="4">
        <v>1702.8451882845188</v>
      </c>
      <c r="G50" s="4">
        <f t="shared" si="9"/>
        <v>31652.026864165495</v>
      </c>
      <c r="H50" s="2">
        <f t="shared" si="10"/>
        <v>8.7324438547348766</v>
      </c>
      <c r="I50" s="2">
        <f>$O$18/$O$14</f>
        <v>8.0060034305317327</v>
      </c>
      <c r="J50" s="19">
        <f t="shared" si="12"/>
        <v>0.91681132609753269</v>
      </c>
      <c r="K50" s="77">
        <f>(1/J50-1.015)*100</f>
        <v>7.573696139484376</v>
      </c>
      <c r="L50" s="75"/>
      <c r="M50" t="s">
        <v>6</v>
      </c>
      <c r="T50" s="10"/>
      <c r="U50" s="10"/>
    </row>
    <row r="51" spans="1:21" ht="21" x14ac:dyDescent="0.25">
      <c r="A51" s="81" t="s">
        <v>53</v>
      </c>
      <c r="B51" s="81" t="s">
        <v>26</v>
      </c>
      <c r="C51" s="15">
        <v>14870</v>
      </c>
      <c r="D51" s="24">
        <v>3721</v>
      </c>
      <c r="E51" s="82" t="s">
        <v>1</v>
      </c>
      <c r="F51" s="4">
        <v>1702.8451882845188</v>
      </c>
      <c r="G51" s="4">
        <f t="shared" si="9"/>
        <v>32338.602954848928</v>
      </c>
      <c r="H51" s="2">
        <f t="shared" si="10"/>
        <v>8.7324438547348766</v>
      </c>
      <c r="I51" s="2">
        <f>$O$18/$O$14</f>
        <v>8.0060034305317327</v>
      </c>
      <c r="J51" s="19">
        <f t="shared" si="12"/>
        <v>0.91681132609753269</v>
      </c>
      <c r="K51" s="77">
        <f t="shared" ref="K51" si="13">(1/J51-1.015)*100</f>
        <v>7.573696139484376</v>
      </c>
      <c r="L51" s="75"/>
      <c r="N51" t="s">
        <v>6</v>
      </c>
      <c r="R51" s="10"/>
      <c r="S51" s="10" t="s">
        <v>6</v>
      </c>
    </row>
    <row r="52" spans="1:21" ht="23.25" customHeight="1" x14ac:dyDescent="0.25">
      <c r="A52" s="81" t="s">
        <v>53</v>
      </c>
      <c r="B52" s="81" t="s">
        <v>26</v>
      </c>
      <c r="C52" s="15">
        <v>15600</v>
      </c>
      <c r="D52" s="24">
        <v>35181</v>
      </c>
      <c r="E52" s="82" t="s">
        <v>1</v>
      </c>
      <c r="F52" s="4">
        <v>1693.2382274629138</v>
      </c>
      <c r="G52" s="4">
        <f t="shared" si="9"/>
        <v>322582.27142649592</v>
      </c>
      <c r="H52" s="2">
        <f t="shared" si="10"/>
        <v>9.2131158787824372</v>
      </c>
      <c r="I52" s="2">
        <f>$O$18/$O$14</f>
        <v>8.0060034305317327</v>
      </c>
      <c r="J52" s="19">
        <f>I52/H52</f>
        <v>0.86897891395997173</v>
      </c>
      <c r="K52" s="77">
        <f>(1/J52-1.015)*100</f>
        <v>13.577590944406225</v>
      </c>
      <c r="L52" s="75"/>
      <c r="O52" t="s">
        <v>6</v>
      </c>
      <c r="R52" s="10"/>
      <c r="S52" s="10"/>
    </row>
    <row r="53" spans="1:21" ht="25.5" customHeight="1" x14ac:dyDescent="0.25">
      <c r="A53" s="81" t="s">
        <v>53</v>
      </c>
      <c r="B53" s="81" t="s">
        <v>26</v>
      </c>
      <c r="C53" s="15">
        <v>14870</v>
      </c>
      <c r="D53" s="24">
        <v>2279</v>
      </c>
      <c r="E53" s="35" t="s">
        <v>2</v>
      </c>
      <c r="F53" s="35">
        <v>435</v>
      </c>
      <c r="G53" s="35">
        <f t="shared" si="9"/>
        <v>77533.93376708201</v>
      </c>
      <c r="H53" s="33">
        <f t="shared" si="10"/>
        <v>34.183908045977013</v>
      </c>
      <c r="I53" s="33">
        <f>$O$18/$O$16</f>
        <v>44.452380952380949</v>
      </c>
      <c r="J53" s="19">
        <f>I53/H53</f>
        <v>1.3003890863675664</v>
      </c>
      <c r="K53" s="77">
        <f>(1/J53-1.015)*100</f>
        <v>-24.599939050292729</v>
      </c>
      <c r="L53" s="75"/>
    </row>
    <row r="54" spans="1:21" ht="21" x14ac:dyDescent="0.25">
      <c r="A54" s="81" t="s">
        <v>53</v>
      </c>
      <c r="B54" s="81" t="s">
        <v>26</v>
      </c>
      <c r="C54" s="15">
        <v>14870</v>
      </c>
      <c r="D54" s="24">
        <v>2279</v>
      </c>
      <c r="E54" s="83" t="s">
        <v>2</v>
      </c>
      <c r="F54" s="35">
        <v>435</v>
      </c>
      <c r="G54" s="35">
        <f t="shared" si="9"/>
        <v>77533.93376708201</v>
      </c>
      <c r="H54" s="33">
        <f t="shared" si="10"/>
        <v>34.183908045977013</v>
      </c>
      <c r="I54" s="33">
        <f>$O$18/$O$16</f>
        <v>44.452380952380949</v>
      </c>
      <c r="J54" s="19">
        <f>I54/H54</f>
        <v>1.3003890863675664</v>
      </c>
      <c r="K54" s="77">
        <f t="shared" ref="K54" si="14">(1/J54-1.015)*100</f>
        <v>-24.599939050292729</v>
      </c>
      <c r="L54" s="75"/>
    </row>
    <row r="55" spans="1:21" ht="21" x14ac:dyDescent="0.25">
      <c r="A55" s="81" t="s">
        <v>53</v>
      </c>
      <c r="B55" s="81" t="s">
        <v>26</v>
      </c>
      <c r="C55" s="15">
        <v>15600</v>
      </c>
      <c r="D55" s="24">
        <v>40264</v>
      </c>
      <c r="E55" s="83" t="s">
        <v>2</v>
      </c>
      <c r="F55" s="35">
        <v>438</v>
      </c>
      <c r="G55" s="35">
        <f t="shared" si="9"/>
        <v>1427227.4417065773</v>
      </c>
      <c r="H55" s="33">
        <f t="shared" si="10"/>
        <v>35.61643835616438</v>
      </c>
      <c r="I55" s="33">
        <f>$O$18/$O$16</f>
        <v>44.452380952380949</v>
      </c>
      <c r="J55" s="19">
        <f>I55/H55</f>
        <v>1.2480860805860805</v>
      </c>
      <c r="K55" s="77">
        <f>(1/J55-1.015)*100</f>
        <v>-21.377321319823007</v>
      </c>
      <c r="L55" s="75"/>
      <c r="O55" t="s">
        <v>6</v>
      </c>
    </row>
    <row r="56" spans="1:21" ht="21" customHeight="1" x14ac:dyDescent="0.25">
      <c r="A56" s="81" t="s">
        <v>54</v>
      </c>
      <c r="B56" s="81" t="s">
        <v>26</v>
      </c>
      <c r="C56" s="15">
        <v>16212</v>
      </c>
      <c r="D56" s="24">
        <v>224</v>
      </c>
      <c r="E56" s="83" t="s">
        <v>2</v>
      </c>
      <c r="F56" s="35">
        <v>432</v>
      </c>
      <c r="G56" s="35">
        <f t="shared" si="9"/>
        <v>8366.1692987308925</v>
      </c>
      <c r="H56" s="33">
        <f t="shared" si="10"/>
        <v>37.527777777777779</v>
      </c>
      <c r="I56" s="33">
        <f>$O$18/$O$16</f>
        <v>44.452380952380949</v>
      </c>
      <c r="J56" s="19">
        <f>I56/H56</f>
        <v>1.1845194036163686</v>
      </c>
      <c r="K56" s="77">
        <f>(1/J56-1.015)*100</f>
        <v>-17.07757543295838</v>
      </c>
      <c r="L56" s="75"/>
    </row>
    <row r="57" spans="1:21" ht="19.5" customHeight="1" x14ac:dyDescent="0.25">
      <c r="A57" s="81" t="s">
        <v>54</v>
      </c>
      <c r="B57" s="81" t="s">
        <v>26</v>
      </c>
      <c r="C57" s="15">
        <v>16756</v>
      </c>
      <c r="D57" s="24">
        <v>716</v>
      </c>
      <c r="E57" s="83" t="s">
        <v>2</v>
      </c>
      <c r="F57" s="35">
        <v>435</v>
      </c>
      <c r="G57" s="35">
        <f t="shared" si="9"/>
        <v>27448.581090175932</v>
      </c>
      <c r="H57" s="33">
        <f t="shared" si="10"/>
        <v>38.51954022988506</v>
      </c>
      <c r="I57" s="33">
        <f>$O$18/$O$16</f>
        <v>44.452380952380949</v>
      </c>
      <c r="J57" s="19">
        <f t="shared" ref="J57:J66" si="15">I57/H57</f>
        <v>1.1540215871500186</v>
      </c>
      <c r="K57" s="77">
        <f t="shared" ref="K57:K66" si="16">(1/J57-1.015)*100</f>
        <v>-14.846508320558494</v>
      </c>
      <c r="L57" s="75"/>
    </row>
    <row r="58" spans="1:21" ht="20.25" customHeight="1" x14ac:dyDescent="0.25">
      <c r="A58" s="81" t="s">
        <v>53</v>
      </c>
      <c r="B58" s="81" t="s">
        <v>26</v>
      </c>
      <c r="C58" s="15">
        <v>15800</v>
      </c>
      <c r="D58" s="24">
        <v>97579</v>
      </c>
      <c r="E58" s="84" t="s">
        <v>7</v>
      </c>
      <c r="F58" s="13">
        <v>564.09649999999999</v>
      </c>
      <c r="G58" s="13">
        <f t="shared" si="9"/>
        <v>2720105.991936069</v>
      </c>
      <c r="H58" s="11">
        <f t="shared" si="10"/>
        <v>28.009392010055016</v>
      </c>
      <c r="I58" s="11">
        <f>$O$18/$O$15</f>
        <v>32.189655172413794</v>
      </c>
      <c r="J58" s="19">
        <f t="shared" si="15"/>
        <v>1.1492450518332606</v>
      </c>
      <c r="K58" s="77">
        <f t="shared" si="16"/>
        <v>-14.4863558337873</v>
      </c>
      <c r="L58" s="75"/>
    </row>
    <row r="59" spans="1:21" ht="21" x14ac:dyDescent="0.25">
      <c r="A59" s="81" t="s">
        <v>54</v>
      </c>
      <c r="B59" s="81" t="s">
        <v>26</v>
      </c>
      <c r="C59" s="15">
        <v>16212</v>
      </c>
      <c r="D59" s="24">
        <v>12020</v>
      </c>
      <c r="E59" s="84" t="s">
        <v>7</v>
      </c>
      <c r="F59" s="13">
        <v>568.19000000000005</v>
      </c>
      <c r="G59" s="13">
        <f t="shared" si="9"/>
        <v>341329.05544801702</v>
      </c>
      <c r="H59" s="11">
        <f t="shared" si="10"/>
        <v>28.53270912898854</v>
      </c>
      <c r="I59" s="11">
        <f>$O$18/$O$15</f>
        <v>32.189655172413794</v>
      </c>
      <c r="J59" s="19">
        <f t="shared" si="15"/>
        <v>1.1281668006670242</v>
      </c>
      <c r="K59" s="77">
        <f t="shared" si="16"/>
        <v>-12.860625094732981</v>
      </c>
      <c r="L59" s="75"/>
    </row>
    <row r="60" spans="1:21" ht="21" x14ac:dyDescent="0.25">
      <c r="A60" s="81" t="s">
        <v>55</v>
      </c>
      <c r="B60" s="81" t="s">
        <v>26</v>
      </c>
      <c r="C60" s="15">
        <v>16235</v>
      </c>
      <c r="D60" s="24">
        <v>6214</v>
      </c>
      <c r="E60" s="84" t="s">
        <v>7</v>
      </c>
      <c r="F60" s="13">
        <v>556</v>
      </c>
      <c r="G60" s="13">
        <f t="shared" si="9"/>
        <v>180582.03069431783</v>
      </c>
      <c r="H60" s="11">
        <f t="shared" si="10"/>
        <v>29.199640287769785</v>
      </c>
      <c r="I60" s="11">
        <f>$O$18/$O$15</f>
        <v>32.189655172413794</v>
      </c>
      <c r="J60" s="19">
        <f t="shared" si="15"/>
        <v>1.102399031466712</v>
      </c>
      <c r="K60" s="77">
        <f t="shared" si="16"/>
        <v>-10.788744687164032</v>
      </c>
      <c r="L60" s="75"/>
      <c r="N60" t="s">
        <v>6</v>
      </c>
      <c r="R60" s="10"/>
    </row>
    <row r="61" spans="1:21" ht="21" x14ac:dyDescent="0.25">
      <c r="A61" s="81" t="s">
        <v>54</v>
      </c>
      <c r="B61" s="81" t="s">
        <v>26</v>
      </c>
      <c r="C61" s="15">
        <v>16756</v>
      </c>
      <c r="D61" s="24">
        <v>31581</v>
      </c>
      <c r="E61" s="84" t="s">
        <v>7</v>
      </c>
      <c r="F61" s="13">
        <v>560</v>
      </c>
      <c r="G61" s="13">
        <f t="shared" si="9"/>
        <v>940446.26182873116</v>
      </c>
      <c r="H61" s="11">
        <f t="shared" si="10"/>
        <v>29.921428571428571</v>
      </c>
      <c r="I61" s="11">
        <f>$O$18/$O$15</f>
        <v>32.189655172413794</v>
      </c>
      <c r="J61" s="19">
        <f t="shared" si="15"/>
        <v>1.0758060931339057</v>
      </c>
      <c r="K61" s="77">
        <f t="shared" si="16"/>
        <v>-8.5464457877419733</v>
      </c>
      <c r="L61" s="75"/>
      <c r="R61" s="10"/>
      <c r="S61" s="10"/>
    </row>
    <row r="62" spans="1:21" ht="24" customHeight="1" x14ac:dyDescent="0.25">
      <c r="A62" s="81" t="s">
        <v>55</v>
      </c>
      <c r="B62" s="81" t="s">
        <v>26</v>
      </c>
      <c r="C62" s="15">
        <v>17050</v>
      </c>
      <c r="D62" s="24">
        <v>10193</v>
      </c>
      <c r="E62" s="84" t="s">
        <v>7</v>
      </c>
      <c r="F62" s="13">
        <v>560</v>
      </c>
      <c r="G62" s="13">
        <f t="shared" si="9"/>
        <v>308861.7748174154</v>
      </c>
      <c r="H62" s="11">
        <f t="shared" si="10"/>
        <v>30.446428571428573</v>
      </c>
      <c r="I62" s="11">
        <f>$O$18/$O$15</f>
        <v>32.189655172413794</v>
      </c>
      <c r="J62" s="19">
        <f t="shared" si="15"/>
        <v>1.0572555364546465</v>
      </c>
      <c r="K62" s="77">
        <f t="shared" si="16"/>
        <v>-6.9154870303772098</v>
      </c>
      <c r="L62" s="75"/>
      <c r="R62" s="10"/>
      <c r="S62" s="10"/>
    </row>
    <row r="63" spans="1:21" ht="21" x14ac:dyDescent="0.25">
      <c r="A63" s="81" t="s">
        <v>56</v>
      </c>
      <c r="B63" s="81" t="s">
        <v>26</v>
      </c>
      <c r="C63" s="15">
        <v>14976</v>
      </c>
      <c r="D63" s="24">
        <v>584</v>
      </c>
      <c r="E63" s="84" t="s">
        <v>7</v>
      </c>
      <c r="F63" s="13">
        <v>543</v>
      </c>
      <c r="G63" s="13">
        <f t="shared" si="9"/>
        <v>16030.040924111199</v>
      </c>
      <c r="H63" s="11">
        <f t="shared" si="10"/>
        <v>27.58011049723757</v>
      </c>
      <c r="I63" s="11">
        <f>$O$18/$O$15</f>
        <v>32.189655172413794</v>
      </c>
      <c r="J63" s="19">
        <f t="shared" si="15"/>
        <v>1.1671329299292661</v>
      </c>
      <c r="K63" s="77">
        <f t="shared" si="16"/>
        <v>-15.819956677033787</v>
      </c>
      <c r="L63" s="75"/>
      <c r="R63" s="10"/>
      <c r="S63" s="10"/>
    </row>
    <row r="64" spans="1:21" ht="21.75" customHeight="1" x14ac:dyDescent="0.25">
      <c r="A64" s="81" t="s">
        <v>56</v>
      </c>
      <c r="B64" s="81" t="s">
        <v>26</v>
      </c>
      <c r="C64" s="15">
        <v>14969</v>
      </c>
      <c r="D64" s="24">
        <v>43109</v>
      </c>
      <c r="E64" s="84" t="s">
        <v>7</v>
      </c>
      <c r="F64" s="13">
        <v>541</v>
      </c>
      <c r="G64" s="13">
        <f t="shared" si="9"/>
        <v>1187105.3276976866</v>
      </c>
      <c r="H64" s="11">
        <f t="shared" si="10"/>
        <v>27.669131238447321</v>
      </c>
      <c r="I64" s="11">
        <f>$O$18/$O$15</f>
        <v>32.189655172413794</v>
      </c>
      <c r="J64" s="19">
        <f t="shared" si="15"/>
        <v>1.1633778774985544</v>
      </c>
      <c r="K64" s="77">
        <f t="shared" si="16"/>
        <v>-15.543405900913498</v>
      </c>
      <c r="L64" s="75"/>
      <c r="N64" t="s">
        <v>6</v>
      </c>
      <c r="R64" s="10"/>
      <c r="S64" s="10"/>
    </row>
    <row r="65" spans="1:19" ht="21" x14ac:dyDescent="0.25">
      <c r="A65" s="81" t="s">
        <v>57</v>
      </c>
      <c r="B65" s="81" t="s">
        <v>26</v>
      </c>
      <c r="C65" s="15">
        <v>14870</v>
      </c>
      <c r="D65" s="24">
        <v>43136</v>
      </c>
      <c r="E65" s="84" t="s">
        <v>7</v>
      </c>
      <c r="F65" s="13">
        <v>541.11710000000005</v>
      </c>
      <c r="G65" s="13">
        <f t="shared" si="9"/>
        <v>1179737.4412215259</v>
      </c>
      <c r="H65" s="11">
        <f t="shared" si="10"/>
        <v>27.480188668959084</v>
      </c>
      <c r="I65" s="11">
        <f>$O$18/$O$15</f>
        <v>32.189655172413794</v>
      </c>
      <c r="J65" s="19">
        <f t="shared" si="15"/>
        <v>1.1713767893003735</v>
      </c>
      <c r="K65" s="77">
        <f t="shared" si="16"/>
        <v>-16.130372640619871</v>
      </c>
      <c r="L65" s="75"/>
      <c r="R65" s="10"/>
      <c r="S65" s="10"/>
    </row>
    <row r="66" spans="1:19" ht="21" x14ac:dyDescent="0.25">
      <c r="A66" s="81" t="s">
        <v>57</v>
      </c>
      <c r="B66" s="81" t="s">
        <v>26</v>
      </c>
      <c r="C66" s="15">
        <v>14920</v>
      </c>
      <c r="D66" s="24">
        <v>109651</v>
      </c>
      <c r="E66" s="84" t="s">
        <v>7</v>
      </c>
      <c r="F66" s="13">
        <v>541.15419999999995</v>
      </c>
      <c r="G66" s="13">
        <f t="shared" si="9"/>
        <v>3008750.4525413048</v>
      </c>
      <c r="H66" s="11">
        <f t="shared" si="10"/>
        <v>27.570699811624859</v>
      </c>
      <c r="I66" s="11">
        <f>$O$18/$O$15</f>
        <v>32.189655172413794</v>
      </c>
      <c r="J66" s="19">
        <f t="shared" si="15"/>
        <v>1.167531306508274</v>
      </c>
      <c r="K66" s="77">
        <f t="shared" si="16"/>
        <v>-15.849191801058282</v>
      </c>
      <c r="L66" s="75"/>
      <c r="R66" s="10"/>
      <c r="S66" s="10"/>
    </row>
    <row r="67" spans="1:19" ht="25.5" customHeight="1" x14ac:dyDescent="0.25">
      <c r="R67" s="10"/>
      <c r="S67" s="10"/>
    </row>
    <row r="68" spans="1:19" ht="15.75" x14ac:dyDescent="0.25">
      <c r="N68" s="51"/>
      <c r="O68" s="51"/>
      <c r="R68" s="10"/>
      <c r="S68" s="10"/>
    </row>
    <row r="69" spans="1:19" x14ac:dyDescent="0.25">
      <c r="R69" s="10"/>
      <c r="S69" s="10"/>
    </row>
    <row r="70" spans="1:19" x14ac:dyDescent="0.25">
      <c r="R70" s="10"/>
      <c r="S70" s="10"/>
    </row>
    <row r="71" spans="1:19" x14ac:dyDescent="0.25">
      <c r="R71" s="10"/>
      <c r="S71" s="10"/>
    </row>
    <row r="72" spans="1:19" ht="21" customHeight="1" x14ac:dyDescent="0.25">
      <c r="R72" s="10" t="s">
        <v>6</v>
      </c>
      <c r="S72" s="10"/>
    </row>
    <row r="75" spans="1:19" ht="21" customHeight="1" x14ac:dyDescent="0.25"/>
    <row r="77" spans="1:19" x14ac:dyDescent="0.25">
      <c r="N77" s="10" t="s">
        <v>6</v>
      </c>
      <c r="O77" t="s">
        <v>6</v>
      </c>
    </row>
    <row r="78" spans="1:19" x14ac:dyDescent="0.25">
      <c r="N78" t="s">
        <v>6</v>
      </c>
    </row>
    <row r="79" spans="1:19" x14ac:dyDescent="0.25">
      <c r="M79" t="s">
        <v>6</v>
      </c>
      <c r="O79" s="76" t="s">
        <v>6</v>
      </c>
    </row>
    <row r="80" spans="1:19" x14ac:dyDescent="0.25">
      <c r="O80" t="s">
        <v>6</v>
      </c>
    </row>
    <row r="81" spans="13:37" x14ac:dyDescent="0.25">
      <c r="O81" s="76" t="s">
        <v>6</v>
      </c>
    </row>
    <row r="82" spans="13:37" x14ac:dyDescent="0.25">
      <c r="M82" t="s">
        <v>6</v>
      </c>
      <c r="O82" t="s">
        <v>6</v>
      </c>
      <c r="T82" t="s">
        <v>6</v>
      </c>
    </row>
    <row r="83" spans="13:37" x14ac:dyDescent="0.25">
      <c r="M83" t="s">
        <v>6</v>
      </c>
      <c r="O83" t="s">
        <v>6</v>
      </c>
      <c r="W83" s="9"/>
    </row>
    <row r="84" spans="13:37" ht="15.75" x14ac:dyDescent="0.25">
      <c r="Q84" s="85"/>
      <c r="T84" t="s">
        <v>6</v>
      </c>
    </row>
    <row r="85" spans="13:37" x14ac:dyDescent="0.25">
      <c r="O85" t="s">
        <v>6</v>
      </c>
      <c r="R85" t="s">
        <v>6</v>
      </c>
    </row>
    <row r="86" spans="13:37" ht="15.75" x14ac:dyDescent="0.25">
      <c r="N86" t="s">
        <v>6</v>
      </c>
      <c r="P86" s="86"/>
      <c r="U86" s="16"/>
    </row>
    <row r="87" spans="13:37" x14ac:dyDescent="0.25">
      <c r="N87" t="s">
        <v>6</v>
      </c>
      <c r="O87" t="s">
        <v>6</v>
      </c>
      <c r="T87" t="s">
        <v>6</v>
      </c>
    </row>
    <row r="88" spans="13:37" x14ac:dyDescent="0.25">
      <c r="O88" t="s">
        <v>6</v>
      </c>
      <c r="AK88" s="16"/>
    </row>
    <row r="89" spans="13:37" x14ac:dyDescent="0.25">
      <c r="N89" t="s">
        <v>6</v>
      </c>
      <c r="O89" t="s">
        <v>6</v>
      </c>
    </row>
    <row r="90" spans="13:37" x14ac:dyDescent="0.25">
      <c r="N90" t="s">
        <v>6</v>
      </c>
      <c r="O90" t="s">
        <v>6</v>
      </c>
    </row>
    <row r="91" spans="13:37" x14ac:dyDescent="0.25">
      <c r="M91" t="s">
        <v>6</v>
      </c>
      <c r="N91" t="s">
        <v>6</v>
      </c>
      <c r="O91" t="s">
        <v>6</v>
      </c>
      <c r="Z91" s="16"/>
      <c r="AK91" t="s">
        <v>6</v>
      </c>
    </row>
    <row r="92" spans="13:37" x14ac:dyDescent="0.25">
      <c r="N92" t="s">
        <v>6</v>
      </c>
    </row>
    <row r="93" spans="13:37" x14ac:dyDescent="0.25">
      <c r="N93" t="s">
        <v>6</v>
      </c>
      <c r="W93" t="s">
        <v>6</v>
      </c>
    </row>
    <row r="94" spans="13:37" x14ac:dyDescent="0.25">
      <c r="N94" t="s">
        <v>6</v>
      </c>
    </row>
    <row r="95" spans="13:37" x14ac:dyDescent="0.25">
      <c r="N95" t="s">
        <v>6</v>
      </c>
      <c r="O95" t="s">
        <v>6</v>
      </c>
    </row>
    <row r="96" spans="13:37" x14ac:dyDescent="0.25">
      <c r="O96" t="s">
        <v>6</v>
      </c>
      <c r="P96" t="s">
        <v>6</v>
      </c>
      <c r="Q96" t="s">
        <v>6</v>
      </c>
      <c r="AE96" t="s">
        <v>6</v>
      </c>
    </row>
    <row r="97" spans="10:24" x14ac:dyDescent="0.25">
      <c r="N97" t="s">
        <v>6</v>
      </c>
      <c r="P97" t="s">
        <v>6</v>
      </c>
      <c r="Q97" t="s">
        <v>6</v>
      </c>
      <c r="T97" t="s">
        <v>6</v>
      </c>
      <c r="U97" s="16"/>
      <c r="V97" t="s">
        <v>6</v>
      </c>
    </row>
    <row r="98" spans="10:24" x14ac:dyDescent="0.25">
      <c r="T98" t="s">
        <v>6</v>
      </c>
    </row>
    <row r="99" spans="10:24" x14ac:dyDescent="0.25">
      <c r="O99" t="s">
        <v>6</v>
      </c>
      <c r="P99" t="s">
        <v>6</v>
      </c>
      <c r="T99" t="s">
        <v>6</v>
      </c>
      <c r="U99" t="s">
        <v>6</v>
      </c>
    </row>
    <row r="100" spans="10:24" x14ac:dyDescent="0.25">
      <c r="T100" t="s">
        <v>6</v>
      </c>
    </row>
    <row r="101" spans="10:24" x14ac:dyDescent="0.25">
      <c r="N101" t="s">
        <v>6</v>
      </c>
      <c r="O101" t="s">
        <v>6</v>
      </c>
      <c r="T101" t="s">
        <v>6</v>
      </c>
    </row>
    <row r="102" spans="10:24" x14ac:dyDescent="0.25">
      <c r="N102" t="s">
        <v>6</v>
      </c>
      <c r="O102" t="s">
        <v>6</v>
      </c>
      <c r="T102" t="s">
        <v>6</v>
      </c>
    </row>
    <row r="103" spans="10:24" x14ac:dyDescent="0.25">
      <c r="N103" t="s">
        <v>6</v>
      </c>
      <c r="O103" t="s">
        <v>6</v>
      </c>
    </row>
    <row r="104" spans="10:24" x14ac:dyDescent="0.25">
      <c r="N104" t="s">
        <v>6</v>
      </c>
      <c r="T104" t="s">
        <v>6</v>
      </c>
    </row>
    <row r="105" spans="10:24" x14ac:dyDescent="0.25">
      <c r="K105" t="s">
        <v>6</v>
      </c>
      <c r="O105" t="s">
        <v>6</v>
      </c>
      <c r="P105" t="s">
        <v>6</v>
      </c>
    </row>
    <row r="106" spans="10:24" x14ac:dyDescent="0.25">
      <c r="J106" t="s">
        <v>6</v>
      </c>
      <c r="O106" t="s">
        <v>6</v>
      </c>
      <c r="T106" t="s">
        <v>6</v>
      </c>
      <c r="U106" s="87"/>
    </row>
    <row r="107" spans="10:24" x14ac:dyDescent="0.25">
      <c r="N107" t="s">
        <v>6</v>
      </c>
      <c r="T107" s="88" t="s">
        <v>6</v>
      </c>
    </row>
    <row r="108" spans="10:24" x14ac:dyDescent="0.25">
      <c r="T108" s="88"/>
      <c r="V108" s="16"/>
    </row>
    <row r="109" spans="10:24" x14ac:dyDescent="0.25">
      <c r="N109" t="s">
        <v>6</v>
      </c>
      <c r="T109" s="16" t="s">
        <v>6</v>
      </c>
      <c r="V109" s="16"/>
    </row>
    <row r="110" spans="10:24" x14ac:dyDescent="0.25">
      <c r="T110" s="16" t="s">
        <v>6</v>
      </c>
      <c r="U110" s="16" t="s">
        <v>6</v>
      </c>
      <c r="V110" s="16"/>
      <c r="X110" s="16"/>
    </row>
    <row r="111" spans="10:24" x14ac:dyDescent="0.25">
      <c r="T111" s="16" t="s">
        <v>6</v>
      </c>
      <c r="U111" s="16"/>
      <c r="V111" s="16"/>
    </row>
    <row r="112" spans="10:24" x14ac:dyDescent="0.25">
      <c r="T112" s="16" t="s">
        <v>6</v>
      </c>
      <c r="U112" s="16"/>
      <c r="V112" s="16"/>
    </row>
    <row r="113" spans="4:35" x14ac:dyDescent="0.25">
      <c r="T113" s="16"/>
      <c r="U113" s="16"/>
      <c r="V113" s="16"/>
    </row>
    <row r="114" spans="4:35" x14ac:dyDescent="0.25">
      <c r="N114" t="s">
        <v>6</v>
      </c>
      <c r="T114" s="16"/>
      <c r="U114" s="16"/>
      <c r="V114" s="16"/>
    </row>
    <row r="115" spans="4:35" ht="27" customHeight="1" x14ac:dyDescent="0.25">
      <c r="R115" t="s">
        <v>6</v>
      </c>
      <c r="T115" s="16"/>
      <c r="U115" s="16"/>
      <c r="V115" s="16"/>
    </row>
    <row r="116" spans="4:35" x14ac:dyDescent="0.25">
      <c r="T116" s="16" t="s">
        <v>6</v>
      </c>
      <c r="U116" s="16"/>
      <c r="V116" s="16"/>
    </row>
    <row r="117" spans="4:35" x14ac:dyDescent="0.25">
      <c r="T117" s="16"/>
      <c r="U117" s="16"/>
    </row>
    <row r="118" spans="4:35" x14ac:dyDescent="0.25">
      <c r="D118" s="9"/>
      <c r="E118" s="9"/>
      <c r="F118" s="9"/>
      <c r="O118" t="s">
        <v>6</v>
      </c>
      <c r="P118" t="s">
        <v>6</v>
      </c>
      <c r="T118" s="16"/>
      <c r="U118" s="16"/>
    </row>
    <row r="119" spans="4:35" x14ac:dyDescent="0.25">
      <c r="D119" s="9"/>
      <c r="E119" s="9"/>
      <c r="F119" s="9"/>
      <c r="T119" s="16"/>
    </row>
    <row r="120" spans="4:35" x14ac:dyDescent="0.25">
      <c r="D120" s="9"/>
      <c r="E120" s="9"/>
      <c r="F120" s="9"/>
      <c r="O120" t="s">
        <v>6</v>
      </c>
      <c r="T120" t="s">
        <v>6</v>
      </c>
    </row>
    <row r="121" spans="4:35" x14ac:dyDescent="0.25">
      <c r="D121" s="9"/>
      <c r="E121" s="9"/>
      <c r="F121" s="9"/>
      <c r="T121" s="16" t="s">
        <v>6</v>
      </c>
    </row>
    <row r="122" spans="4:35" x14ac:dyDescent="0.25">
      <c r="D122" s="9"/>
      <c r="E122" s="9"/>
      <c r="F122" s="9"/>
      <c r="O122" t="s">
        <v>6</v>
      </c>
      <c r="T122" s="16" t="s">
        <v>6</v>
      </c>
      <c r="U122" s="16"/>
    </row>
    <row r="123" spans="4:35" x14ac:dyDescent="0.25">
      <c r="D123" s="9"/>
      <c r="E123" s="9"/>
      <c r="F123" s="9"/>
      <c r="O123" t="s">
        <v>6</v>
      </c>
      <c r="T123" s="16"/>
      <c r="U123" t="s">
        <v>6</v>
      </c>
      <c r="AI123" s="16"/>
    </row>
    <row r="124" spans="4:35" x14ac:dyDescent="0.25">
      <c r="D124" s="9"/>
      <c r="E124" s="9"/>
      <c r="F124" s="9"/>
      <c r="T124" s="16"/>
      <c r="U124" t="s">
        <v>6</v>
      </c>
      <c r="Y124" t="s">
        <v>6</v>
      </c>
      <c r="AH124" t="s">
        <v>6</v>
      </c>
    </row>
    <row r="125" spans="4:35" x14ac:dyDescent="0.25">
      <c r="D125" s="9"/>
      <c r="E125" s="9"/>
      <c r="F125" s="9"/>
      <c r="T125" s="16"/>
      <c r="U125" t="s">
        <v>6</v>
      </c>
      <c r="V125" t="s">
        <v>6</v>
      </c>
      <c r="X125" s="89"/>
    </row>
    <row r="126" spans="4:35" x14ac:dyDescent="0.25">
      <c r="D126" s="9"/>
      <c r="E126" s="9"/>
      <c r="F126" s="9"/>
      <c r="T126" s="16"/>
    </row>
    <row r="127" spans="4:35" x14ac:dyDescent="0.25">
      <c r="D127" s="9"/>
      <c r="E127" s="9"/>
      <c r="F127" s="9"/>
      <c r="N127" t="s">
        <v>6</v>
      </c>
      <c r="P127" t="s">
        <v>6</v>
      </c>
      <c r="T127" s="16" t="s">
        <v>6</v>
      </c>
    </row>
    <row r="128" spans="4:35" x14ac:dyDescent="0.25">
      <c r="D128" s="9"/>
      <c r="E128" s="9"/>
      <c r="F128" s="9"/>
      <c r="O128" t="s">
        <v>6</v>
      </c>
      <c r="P128" t="s">
        <v>6</v>
      </c>
      <c r="T128" s="10" t="s">
        <v>6</v>
      </c>
      <c r="U128" t="s">
        <v>6</v>
      </c>
    </row>
    <row r="129" spans="4:23" x14ac:dyDescent="0.25">
      <c r="D129" s="9"/>
      <c r="E129" s="9"/>
      <c r="F129" s="9"/>
      <c r="T129" s="10" t="s">
        <v>6</v>
      </c>
      <c r="U129" t="s">
        <v>6</v>
      </c>
    </row>
    <row r="130" spans="4:23" x14ac:dyDescent="0.25">
      <c r="D130" s="9"/>
      <c r="E130" s="9"/>
      <c r="F130" s="9"/>
      <c r="T130" s="16" t="s">
        <v>6</v>
      </c>
    </row>
    <row r="131" spans="4:23" x14ac:dyDescent="0.25">
      <c r="D131" s="9"/>
      <c r="E131" s="9"/>
      <c r="F131" s="9"/>
      <c r="N131" t="s">
        <v>6</v>
      </c>
    </row>
    <row r="132" spans="4:23" x14ac:dyDescent="0.25">
      <c r="D132" s="9"/>
      <c r="E132" s="9"/>
      <c r="F132" s="9"/>
      <c r="N132" t="s">
        <v>6</v>
      </c>
    </row>
    <row r="133" spans="4:23" x14ac:dyDescent="0.25">
      <c r="D133" s="9"/>
      <c r="E133" s="9"/>
      <c r="F133" s="9"/>
      <c r="T133" t="s">
        <v>6</v>
      </c>
    </row>
    <row r="134" spans="4:23" x14ac:dyDescent="0.25">
      <c r="D134" s="9"/>
      <c r="E134" s="9"/>
      <c r="F134" s="9"/>
      <c r="O134" t="s">
        <v>6</v>
      </c>
      <c r="U134" s="16"/>
      <c r="W134" t="s">
        <v>6</v>
      </c>
    </row>
    <row r="135" spans="4:23" x14ac:dyDescent="0.25">
      <c r="D135" s="9"/>
      <c r="E135" s="9"/>
      <c r="F135" s="9"/>
      <c r="U135" s="16" t="s">
        <v>6</v>
      </c>
    </row>
    <row r="136" spans="4:23" x14ac:dyDescent="0.25">
      <c r="D136" s="9"/>
      <c r="E136" s="9"/>
      <c r="F136" s="9"/>
      <c r="U136" s="16"/>
    </row>
    <row r="137" spans="4:23" x14ac:dyDescent="0.25">
      <c r="D137" s="9"/>
      <c r="E137" s="9"/>
      <c r="U137" s="16"/>
    </row>
    <row r="138" spans="4:23" x14ac:dyDescent="0.25">
      <c r="D138" s="9"/>
      <c r="E138" s="9"/>
      <c r="N138" t="s">
        <v>6</v>
      </c>
    </row>
    <row r="139" spans="4:23" x14ac:dyDescent="0.25">
      <c r="D139" s="9"/>
      <c r="E139" s="9"/>
    </row>
    <row r="140" spans="4:23" x14ac:dyDescent="0.25">
      <c r="D140" s="9"/>
      <c r="E140" s="9"/>
      <c r="T140" s="16"/>
    </row>
    <row r="142" spans="4:23" x14ac:dyDescent="0.25">
      <c r="O142" t="s">
        <v>6</v>
      </c>
    </row>
    <row r="143" spans="4:23" x14ac:dyDescent="0.25">
      <c r="O143" t="s">
        <v>6</v>
      </c>
    </row>
    <row r="145" spans="1:20" x14ac:dyDescent="0.25">
      <c r="A145" s="90"/>
      <c r="N145" t="s">
        <v>6</v>
      </c>
      <c r="O145" t="s">
        <v>6</v>
      </c>
    </row>
    <row r="148" spans="1:20" x14ac:dyDescent="0.25">
      <c r="N148" t="s">
        <v>6</v>
      </c>
    </row>
    <row r="150" spans="1:20" x14ac:dyDescent="0.25">
      <c r="N150" t="s">
        <v>6</v>
      </c>
    </row>
    <row r="152" spans="1:20" x14ac:dyDescent="0.25">
      <c r="N152" t="s">
        <v>6</v>
      </c>
    </row>
    <row r="153" spans="1:20" x14ac:dyDescent="0.25">
      <c r="N153" t="s">
        <v>6</v>
      </c>
    </row>
    <row r="154" spans="1:20" x14ac:dyDescent="0.25">
      <c r="N154" t="s">
        <v>6</v>
      </c>
    </row>
    <row r="159" spans="1:20" x14ac:dyDescent="0.25">
      <c r="T159" t="s">
        <v>6</v>
      </c>
    </row>
    <row r="161" spans="14:16" x14ac:dyDescent="0.25">
      <c r="O161" t="s">
        <v>6</v>
      </c>
    </row>
    <row r="170" spans="14:16" x14ac:dyDescent="0.25">
      <c r="N170" t="s">
        <v>6</v>
      </c>
    </row>
    <row r="171" spans="14:16" x14ac:dyDescent="0.25">
      <c r="P171" t="s">
        <v>6</v>
      </c>
    </row>
    <row r="172" spans="14:16" x14ac:dyDescent="0.25">
      <c r="O172" t="s">
        <v>6</v>
      </c>
    </row>
    <row r="181" spans="15:20" x14ac:dyDescent="0.25">
      <c r="O181" t="s">
        <v>6</v>
      </c>
    </row>
    <row r="188" spans="15:20" x14ac:dyDescent="0.25">
      <c r="O188" t="s">
        <v>6</v>
      </c>
      <c r="T188" t="s">
        <v>6</v>
      </c>
    </row>
    <row r="211" spans="14:14" x14ac:dyDescent="0.25">
      <c r="N211" t="s">
        <v>6</v>
      </c>
    </row>
    <row r="213" spans="14:14" x14ac:dyDescent="0.25">
      <c r="N213" t="s">
        <v>6</v>
      </c>
    </row>
  </sheetData>
  <conditionalFormatting sqref="K47:K66 K42:K45 O29:O39 K2:K5 K10">
    <cfRule type="cellIs" dxfId="17" priority="16" operator="lessThan">
      <formula>0</formula>
    </cfRule>
    <cfRule type="cellIs" dxfId="16" priority="17" operator="greaterThan">
      <formula>0</formula>
    </cfRule>
    <cfRule type="cellIs" dxfId="15" priority="18" operator="greaterThan">
      <formula>0</formula>
    </cfRule>
  </conditionalFormatting>
  <conditionalFormatting sqref="K46">
    <cfRule type="cellIs" dxfId="14" priority="13" operator="lessThan">
      <formula>0</formula>
    </cfRule>
    <cfRule type="cellIs" dxfId="13" priority="14" operator="greaterThan">
      <formula>0</formula>
    </cfRule>
    <cfRule type="cellIs" dxfId="12" priority="15" operator="greaterThan">
      <formula>0</formula>
    </cfRule>
  </conditionalFormatting>
  <conditionalFormatting sqref="K41">
    <cfRule type="cellIs" dxfId="11" priority="10" operator="lessThan">
      <formula>0</formula>
    </cfRule>
    <cfRule type="cellIs" dxfId="10" priority="11" operator="greaterThan">
      <formula>0</formula>
    </cfRule>
    <cfRule type="cellIs" dxfId="9" priority="12" operator="greaterThan">
      <formula>0</formula>
    </cfRule>
  </conditionalFormatting>
  <conditionalFormatting sqref="K40">
    <cfRule type="cellIs" dxfId="8" priority="7" operator="lessThan">
      <formula>0</formula>
    </cfRule>
    <cfRule type="cellIs" dxfId="7" priority="8" operator="greaterThan">
      <formula>0</formula>
    </cfRule>
    <cfRule type="cellIs" dxfId="6" priority="9" operator="greaterThan">
      <formula>0</formula>
    </cfRule>
  </conditionalFormatting>
  <conditionalFormatting sqref="K6:K9 K11:K12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خرید و فروش نسبتی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2024-03-07T11:22:17Z</dcterms:modified>
</cp:coreProperties>
</file>