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C87" i="63" l="1"/>
  <c r="D87" i="63" s="1"/>
  <c r="C88" i="63"/>
  <c r="D88" i="63" s="1"/>
  <c r="C89" i="63"/>
  <c r="D89" i="63" s="1"/>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7"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<sst xmlns="http://schemas.openxmlformats.org/spreadsheetml/2006/main" count="17029" uniqueCount="7094">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</sst>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6655</v>
      </c>
      <c r="C1" s="40" t="s">
        <v>1329</v>
      </c>
      <c r="D1" s="40" t="s">
        <v>1330</v>
      </c>
      <c r="E1" s="40" t="s">
        <v>6654</v>
      </c>
      <c r="F1" s="40" t="s">
        <v>6653</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7014</v>
      </c>
      <c r="I5" s="40" t="s">
        <v>6651</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7015</v>
      </c>
      <c r="I6" s="40" t="s">
        <v>6651</v>
      </c>
      <c r="L6" s="40" t="str">
        <f t="shared" si="0"/>
        <v>USD,20211107,278010,280080,277200,279910,1,1,1</v>
      </c>
    </row>
    <row r="7" spans="1:15">
      <c r="A7" s="412">
        <v>270860</v>
      </c>
      <c r="B7" s="412">
        <v>270850</v>
      </c>
      <c r="C7" s="270">
        <v>279580</v>
      </c>
      <c r="D7" s="270">
        <v>278240</v>
      </c>
      <c r="E7">
        <v>1730</v>
      </c>
      <c r="F7" s="137">
        <v>6.3E-3</v>
      </c>
      <c r="G7" s="203">
        <v>44506</v>
      </c>
      <c r="H7" t="s">
        <v>7016</v>
      </c>
      <c r="I7" s="40" t="s">
        <v>6651</v>
      </c>
      <c r="L7" s="40" t="str">
        <f t="shared" si="0"/>
        <v>USD,20211106,283180,279580,283100,278240,1,1,1</v>
      </c>
    </row>
    <row r="8" spans="1:15">
      <c r="A8" s="412">
        <v>273310</v>
      </c>
      <c r="B8" s="412">
        <v>270050</v>
      </c>
      <c r="C8" s="270">
        <v>277280</v>
      </c>
      <c r="D8" s="270">
        <v>276510</v>
      </c>
      <c r="E8">
        <v>2460</v>
      </c>
      <c r="F8" s="137">
        <v>8.8999999999999999E-3</v>
      </c>
      <c r="G8" s="203">
        <v>44504</v>
      </c>
      <c r="H8" t="s">
        <v>7017</v>
      </c>
      <c r="I8" s="40" t="s">
        <v>6651</v>
      </c>
      <c r="L8" s="40" t="str">
        <f t="shared" si="0"/>
        <v>USD,20211104,281760,277280,281400,276510,1,1,1</v>
      </c>
    </row>
    <row r="9" spans="1:15">
      <c r="A9" s="412">
        <v>273870</v>
      </c>
      <c r="B9" s="412">
        <v>272250</v>
      </c>
      <c r="C9" s="270">
        <v>279280</v>
      </c>
      <c r="D9" s="270">
        <v>278970</v>
      </c>
      <c r="E9">
        <v>2960</v>
      </c>
      <c r="F9" s="137">
        <v>1.0699999999999999E-2</v>
      </c>
      <c r="G9" s="203">
        <v>44503</v>
      </c>
      <c r="H9" t="s">
        <v>7018</v>
      </c>
      <c r="I9" s="40" t="s">
        <v>6651</v>
      </c>
      <c r="L9" s="40" t="str">
        <f t="shared" si="0"/>
        <v>USD,20211103,280230,279280,280200,278970,1,1,1</v>
      </c>
    </row>
    <row r="10" spans="1:15">
      <c r="A10" s="412">
        <v>273850</v>
      </c>
      <c r="B10" s="412">
        <v>269350</v>
      </c>
      <c r="C10" s="270">
        <v>276080</v>
      </c>
      <c r="D10" s="270">
        <v>276010</v>
      </c>
      <c r="E10">
        <v>940</v>
      </c>
      <c r="F10" s="137">
        <v>3.3999999999999998E-3</v>
      </c>
      <c r="G10" s="203">
        <v>44502</v>
      </c>
      <c r="H10" t="s">
        <v>7019</v>
      </c>
      <c r="I10" s="40" t="s">
        <v>6651</v>
      </c>
      <c r="L10" s="40" t="str">
        <f t="shared" si="0"/>
        <v>USD,20211102,,276080,,276010,1,1,1</v>
      </c>
      <c r="O10" t="s">
        <v>6652</v>
      </c>
    </row>
    <row r="11" spans="1:15">
      <c r="A11" s="412">
        <v>281890</v>
      </c>
      <c r="B11" s="412">
        <v>275490</v>
      </c>
      <c r="C11" s="270">
        <v>276380</v>
      </c>
      <c r="D11" s="270">
        <v>275070</v>
      </c>
      <c r="E11">
        <v>680</v>
      </c>
      <c r="F11" s="137">
        <v>2.5000000000000001E-3</v>
      </c>
      <c r="G11" s="203">
        <v>44501</v>
      </c>
      <c r="H11" t="s">
        <v>7020</v>
      </c>
      <c r="I11" s="40" t="s">
        <v>6651</v>
      </c>
      <c r="L11" s="40" t="str">
        <f t="shared" si="0"/>
        <v>USD,20211101,,276380,,275070,1,1,1</v>
      </c>
    </row>
    <row r="12" spans="1:15">
      <c r="A12" s="412">
        <v>282460</v>
      </c>
      <c r="B12" s="412">
        <v>281190</v>
      </c>
      <c r="C12" s="270">
        <v>276080</v>
      </c>
      <c r="D12" s="270">
        <v>275750</v>
      </c>
      <c r="E12">
        <v>390</v>
      </c>
      <c r="F12" s="137">
        <v>1.4E-3</v>
      </c>
      <c r="G12" s="203">
        <v>44500</v>
      </c>
      <c r="H12" t="s">
        <v>7021</v>
      </c>
      <c r="I12" s="40" t="s">
        <v>6651</v>
      </c>
      <c r="L12" s="40" t="str">
        <f t="shared" si="0"/>
        <v>USD,20211031,,276080,,275750,1,1,1</v>
      </c>
    </row>
    <row r="13" spans="1:15">
      <c r="A13" s="412">
        <v>279490</v>
      </c>
      <c r="B13" s="412">
        <v>277890</v>
      </c>
      <c r="C13" s="270">
        <v>276680</v>
      </c>
      <c r="D13" s="270">
        <v>276140</v>
      </c>
      <c r="E13">
        <v>430</v>
      </c>
      <c r="F13" s="137">
        <v>1.6000000000000001E-3</v>
      </c>
      <c r="G13" s="203">
        <v>44499</v>
      </c>
      <c r="H13" t="s">
        <v>7022</v>
      </c>
      <c r="I13" s="40" t="s">
        <v>6651</v>
      </c>
      <c r="L13" s="40" t="str">
        <f t="shared" si="0"/>
        <v>USD,20211030,,276680,,276140,1,1,1</v>
      </c>
    </row>
    <row r="14" spans="1:15">
      <c r="A14" s="412">
        <v>277530</v>
      </c>
      <c r="B14" s="412">
        <v>276790</v>
      </c>
      <c r="C14" s="270">
        <v>277080</v>
      </c>
      <c r="D14" s="270">
        <v>276570</v>
      </c>
      <c r="E14">
        <v>210</v>
      </c>
      <c r="F14" s="137">
        <v>8.0000000000000004E-4</v>
      </c>
      <c r="G14" s="203">
        <v>44497</v>
      </c>
      <c r="H14" t="s">
        <v>7023</v>
      </c>
      <c r="I14" s="40" t="s">
        <v>6651</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7024</v>
      </c>
      <c r="I15" s="40" t="s">
        <v>6651</v>
      </c>
      <c r="L15" s="40" t="str">
        <f t="shared" si="0"/>
        <v>USD,20211027,,278080,,276780,1,1,1</v>
      </c>
    </row>
    <row r="16" spans="1:15">
      <c r="A16" s="412">
        <v>274390</v>
      </c>
      <c r="B16" s="412">
        <v>273690</v>
      </c>
      <c r="C16" s="270">
        <v>275780</v>
      </c>
      <c r="D16" s="270">
        <v>275770</v>
      </c>
      <c r="E16">
        <v>150</v>
      </c>
      <c r="F16" s="137">
        <v>5.0000000000000001E-4</v>
      </c>
      <c r="G16" s="203">
        <v>44495</v>
      </c>
      <c r="H16" t="s">
        <v>7025</v>
      </c>
      <c r="I16" s="40" t="s">
        <v>6651</v>
      </c>
      <c r="L16" s="40" t="str">
        <f t="shared" si="0"/>
        <v>USD,20211026,,275780,,275770,1,1,1</v>
      </c>
    </row>
    <row r="17" spans="1:12">
      <c r="A17" s="412">
        <v>274500</v>
      </c>
      <c r="B17" s="412">
        <v>273490</v>
      </c>
      <c r="C17" s="270">
        <v>276780</v>
      </c>
      <c r="D17" s="270">
        <v>275620</v>
      </c>
      <c r="E17">
        <v>410</v>
      </c>
      <c r="F17" s="137">
        <v>1.5E-3</v>
      </c>
      <c r="G17" s="203">
        <v>44494</v>
      </c>
      <c r="H17" t="s">
        <v>7026</v>
      </c>
      <c r="I17" s="40" t="s">
        <v>6651</v>
      </c>
      <c r="L17" s="40" t="str">
        <f t="shared" si="0"/>
        <v>USD,20211025,,276780,,275620,1,1,1</v>
      </c>
    </row>
    <row r="18" spans="1:12">
      <c r="A18" s="412">
        <v>269030</v>
      </c>
      <c r="B18" s="412">
        <v>268990</v>
      </c>
      <c r="C18" s="270">
        <v>276080</v>
      </c>
      <c r="D18" s="270">
        <v>276030</v>
      </c>
      <c r="E18">
        <v>1880</v>
      </c>
      <c r="F18" s="137">
        <v>6.8999999999999999E-3</v>
      </c>
      <c r="G18" s="203">
        <v>44492</v>
      </c>
      <c r="H18" t="s">
        <v>7027</v>
      </c>
      <c r="I18" s="40" t="s">
        <v>6651</v>
      </c>
      <c r="L18" s="40" t="str">
        <f t="shared" si="0"/>
        <v>USD,20211023,,276080,,276030,1,1,1</v>
      </c>
    </row>
    <row r="19" spans="1:12">
      <c r="A19" s="412">
        <v>269080</v>
      </c>
      <c r="B19" s="412">
        <v>268990</v>
      </c>
      <c r="C19" s="270">
        <v>274680</v>
      </c>
      <c r="D19" s="270">
        <v>274150</v>
      </c>
      <c r="E19">
        <v>1070</v>
      </c>
      <c r="F19" s="137">
        <v>3.8999999999999998E-3</v>
      </c>
      <c r="G19" s="203">
        <v>44490</v>
      </c>
      <c r="H19" t="s">
        <v>7028</v>
      </c>
      <c r="I19" s="40" t="s">
        <v>6651</v>
      </c>
      <c r="L19" s="40" t="str">
        <f t="shared" si="0"/>
        <v>USD,20211021,,274680,,274150,1,1,1</v>
      </c>
    </row>
    <row r="20" spans="1:12">
      <c r="A20" s="412">
        <v>269110</v>
      </c>
      <c r="B20" s="412">
        <v>268990</v>
      </c>
      <c r="C20" s="270">
        <v>274180</v>
      </c>
      <c r="D20" s="270">
        <v>273080</v>
      </c>
      <c r="E20">
        <v>1750</v>
      </c>
      <c r="F20" s="137">
        <v>6.4000000000000003E-3</v>
      </c>
      <c r="G20" s="203">
        <v>44489</v>
      </c>
      <c r="H20" t="s">
        <v>7029</v>
      </c>
      <c r="I20" s="40" t="s">
        <v>6651</v>
      </c>
      <c r="L20" s="40" t="str">
        <f t="shared" si="0"/>
        <v>USD,20211020,,274180,,273080,1,1,1</v>
      </c>
    </row>
    <row r="21" spans="1:12">
      <c r="A21" s="412">
        <v>263490</v>
      </c>
      <c r="B21" s="412">
        <v>263490</v>
      </c>
      <c r="C21" s="270">
        <v>275380</v>
      </c>
      <c r="D21" s="270">
        <v>274830</v>
      </c>
      <c r="E21">
        <v>2190</v>
      </c>
      <c r="F21" s="137">
        <v>8.0000000000000002E-3</v>
      </c>
      <c r="G21" s="203">
        <v>44488</v>
      </c>
      <c r="H21" t="s">
        <v>7030</v>
      </c>
      <c r="I21" s="40" t="s">
        <v>6651</v>
      </c>
      <c r="L21" s="40" t="str">
        <f t="shared" si="0"/>
        <v>USD,20211019,,275380,,274830,1,1,1</v>
      </c>
    </row>
    <row r="22" spans="1:12">
      <c r="A22" s="412">
        <v>263110</v>
      </c>
      <c r="B22" s="412">
        <v>262590</v>
      </c>
      <c r="C22" s="270">
        <v>273180</v>
      </c>
      <c r="D22" s="270">
        <v>272640</v>
      </c>
      <c r="E22">
        <v>820</v>
      </c>
      <c r="F22" s="137">
        <v>3.0000000000000001E-3</v>
      </c>
      <c r="G22" s="203">
        <v>44487</v>
      </c>
      <c r="H22" t="s">
        <v>7031</v>
      </c>
      <c r="I22" s="40" t="s">
        <v>6651</v>
      </c>
      <c r="L22" s="40" t="str">
        <f t="shared" si="0"/>
        <v>USD,20211018,,273180,,272640,1,1,1</v>
      </c>
    </row>
    <row r="23" spans="1:12">
      <c r="A23" s="412">
        <v>265890</v>
      </c>
      <c r="B23" s="412">
        <v>262890</v>
      </c>
      <c r="C23" s="270">
        <v>272980</v>
      </c>
      <c r="D23" s="270">
        <v>271820</v>
      </c>
      <c r="E23">
        <v>1030</v>
      </c>
      <c r="F23" s="137">
        <v>3.8E-3</v>
      </c>
      <c r="G23" s="203">
        <v>44486</v>
      </c>
      <c r="H23" t="s">
        <v>7032</v>
      </c>
      <c r="I23" s="40" t="s">
        <v>6651</v>
      </c>
      <c r="L23" s="40" t="str">
        <f t="shared" si="0"/>
        <v>USD,20211017,,272980,,271820,1,1,1</v>
      </c>
    </row>
    <row r="24" spans="1:12">
      <c r="A24" s="412">
        <v>264690</v>
      </c>
      <c r="B24" s="412">
        <v>263790</v>
      </c>
      <c r="C24" s="270">
        <v>273280</v>
      </c>
      <c r="D24" s="270">
        <v>272850</v>
      </c>
      <c r="E24">
        <v>1980</v>
      </c>
      <c r="F24" s="137">
        <v>7.3000000000000001E-3</v>
      </c>
      <c r="G24" s="203">
        <v>44485</v>
      </c>
      <c r="H24" t="s">
        <v>7033</v>
      </c>
      <c r="I24" s="40" t="s">
        <v>6651</v>
      </c>
      <c r="L24" s="40" t="str">
        <f t="shared" si="0"/>
        <v>USD,20211016,,273280,,272850,1,1,1</v>
      </c>
    </row>
    <row r="25" spans="1:12">
      <c r="A25" s="412">
        <v>258990</v>
      </c>
      <c r="B25" s="412">
        <v>258990</v>
      </c>
      <c r="C25" s="270">
        <v>272480</v>
      </c>
      <c r="D25" s="270">
        <v>270870</v>
      </c>
      <c r="E25">
        <v>690</v>
      </c>
      <c r="F25" s="137">
        <v>2.5000000000000001E-3</v>
      </c>
      <c r="G25" s="203">
        <v>44483</v>
      </c>
      <c r="H25" t="s">
        <v>7034</v>
      </c>
      <c r="I25" s="40" t="s">
        <v>6651</v>
      </c>
      <c r="L25" s="40" t="str">
        <f t="shared" si="0"/>
        <v>USD,20211014,,272480,,270870,1,1,1</v>
      </c>
    </row>
    <row r="26" spans="1:12">
      <c r="A26" s="412">
        <v>256340</v>
      </c>
      <c r="B26" s="412">
        <v>256190</v>
      </c>
      <c r="C26" s="270">
        <v>272780</v>
      </c>
      <c r="D26" s="270">
        <v>271560</v>
      </c>
      <c r="E26">
        <v>830</v>
      </c>
      <c r="F26" s="137">
        <v>3.0999999999999999E-3</v>
      </c>
      <c r="G26" s="203">
        <v>44482</v>
      </c>
      <c r="H26" t="s">
        <v>7035</v>
      </c>
      <c r="I26" s="40" t="s">
        <v>6651</v>
      </c>
      <c r="L26" s="40" t="str">
        <f t="shared" si="0"/>
        <v>USD,20211013,,272780,,271560,1,1,1</v>
      </c>
    </row>
    <row r="27" spans="1:12">
      <c r="A27" s="412">
        <v>256290</v>
      </c>
      <c r="B27" s="412">
        <v>252390</v>
      </c>
      <c r="C27" s="270">
        <v>273680</v>
      </c>
      <c r="D27" s="270">
        <v>270730</v>
      </c>
      <c r="E27">
        <v>2600</v>
      </c>
      <c r="F27" s="137">
        <v>9.5999999999999992E-3</v>
      </c>
      <c r="G27" s="203">
        <v>44481</v>
      </c>
      <c r="H27" t="s">
        <v>7036</v>
      </c>
      <c r="I27" s="40" t="s">
        <v>6651</v>
      </c>
      <c r="L27" s="40" t="str">
        <f t="shared" si="0"/>
        <v>USD,20211012,,273680,,270730,1,1,1</v>
      </c>
    </row>
    <row r="28" spans="1:12">
      <c r="A28" s="412">
        <v>254190</v>
      </c>
      <c r="B28" s="412">
        <v>253990</v>
      </c>
      <c r="C28" s="270">
        <v>276080</v>
      </c>
      <c r="D28" s="270">
        <v>273330</v>
      </c>
      <c r="E28">
        <v>2480</v>
      </c>
      <c r="F28" s="137">
        <v>9.1000000000000004E-3</v>
      </c>
      <c r="G28" s="203">
        <v>44480</v>
      </c>
      <c r="H28" t="s">
        <v>7037</v>
      </c>
      <c r="I28" s="40" t="s">
        <v>6651</v>
      </c>
      <c r="L28" s="40" t="str">
        <f t="shared" si="0"/>
        <v>USD,20211011,,276080,,273330,1,1,1</v>
      </c>
    </row>
    <row r="29" spans="1:12">
      <c r="A29" s="412">
        <v>256490</v>
      </c>
      <c r="B29" s="412">
        <v>255790</v>
      </c>
      <c r="C29" s="270">
        <v>276280</v>
      </c>
      <c r="D29" s="270">
        <v>275810</v>
      </c>
      <c r="E29">
        <v>210</v>
      </c>
      <c r="F29" s="137">
        <v>8.0000000000000004E-4</v>
      </c>
      <c r="G29" s="203">
        <v>44479</v>
      </c>
      <c r="H29" t="s">
        <v>7038</v>
      </c>
      <c r="I29" s="40" t="s">
        <v>6651</v>
      </c>
      <c r="L29" s="40" t="str">
        <f t="shared" si="0"/>
        <v>USD,20211010,,276280,,275810,1,1,1</v>
      </c>
    </row>
    <row r="30" spans="1:12">
      <c r="A30" s="412">
        <v>257250</v>
      </c>
      <c r="B30" s="412">
        <v>254690</v>
      </c>
      <c r="C30" s="270">
        <v>279380</v>
      </c>
      <c r="D30" s="270">
        <v>275600</v>
      </c>
      <c r="E30">
        <v>3720</v>
      </c>
      <c r="F30" s="137">
        <v>1.35E-2</v>
      </c>
      <c r="G30" s="203">
        <v>44478</v>
      </c>
      <c r="H30" t="s">
        <v>7039</v>
      </c>
      <c r="I30" s="40" t="s">
        <v>6651</v>
      </c>
      <c r="L30" s="40" t="str">
        <f t="shared" si="0"/>
        <v>USD,20211009,,279380,,275600,1,1,1</v>
      </c>
    </row>
    <row r="31" spans="1:12">
      <c r="A31" s="412">
        <v>255790</v>
      </c>
      <c r="B31" s="412">
        <v>255690</v>
      </c>
      <c r="C31" s="270">
        <v>281680</v>
      </c>
      <c r="D31" s="270">
        <v>279320</v>
      </c>
      <c r="E31">
        <v>2040</v>
      </c>
      <c r="F31" s="137">
        <v>7.3000000000000001E-3</v>
      </c>
      <c r="G31" s="203">
        <v>44475</v>
      </c>
      <c r="H31" t="s">
        <v>7040</v>
      </c>
      <c r="I31" s="40" t="s">
        <v>6651</v>
      </c>
      <c r="L31" s="40" t="str">
        <f t="shared" si="0"/>
        <v>USD,20211006,,281680,,279320,1,1,1</v>
      </c>
    </row>
    <row r="32" spans="1:12">
      <c r="A32" s="412">
        <v>255690</v>
      </c>
      <c r="B32" s="412">
        <v>254590</v>
      </c>
      <c r="C32" s="270">
        <v>281680</v>
      </c>
      <c r="D32" s="270">
        <v>281360</v>
      </c>
      <c r="E32" t="s">
        <v>6650</v>
      </c>
      <c r="F32" t="s">
        <v>6650</v>
      </c>
      <c r="G32" s="203">
        <v>44473</v>
      </c>
      <c r="H32" t="s">
        <v>7041</v>
      </c>
      <c r="I32" s="40" t="s">
        <v>6651</v>
      </c>
      <c r="L32" s="40" t="str">
        <f t="shared" si="0"/>
        <v>USD,20211004,,281680,,281360,1,1,1</v>
      </c>
    </row>
    <row r="33" spans="1:12">
      <c r="A33" s="412">
        <v>257190</v>
      </c>
      <c r="B33" s="412">
        <v>254290</v>
      </c>
      <c r="C33" s="270">
        <v>281610</v>
      </c>
      <c r="D33" s="270">
        <v>280410</v>
      </c>
      <c r="E33">
        <v>1600</v>
      </c>
      <c r="F33" s="137">
        <v>5.7000000000000002E-3</v>
      </c>
      <c r="G33" s="203">
        <v>44472</v>
      </c>
      <c r="H33" t="s">
        <v>7042</v>
      </c>
      <c r="I33" s="40" t="s">
        <v>6651</v>
      </c>
      <c r="L33" s="40" t="str">
        <f t="shared" si="0"/>
        <v>USD,20211003,,281610,,280410,1,1,1</v>
      </c>
    </row>
    <row r="34" spans="1:12">
      <c r="A34" s="412">
        <v>260270</v>
      </c>
      <c r="B34" s="412">
        <v>256990</v>
      </c>
      <c r="C34" s="270">
        <v>283510</v>
      </c>
      <c r="D34" s="270">
        <v>282010</v>
      </c>
      <c r="E34">
        <v>2700</v>
      </c>
      <c r="F34" s="137">
        <v>9.5999999999999992E-3</v>
      </c>
      <c r="G34" s="203">
        <v>44471</v>
      </c>
      <c r="H34" t="s">
        <v>7044</v>
      </c>
      <c r="I34" s="40" t="s">
        <v>6651</v>
      </c>
      <c r="L34" s="40" t="str">
        <f t="shared" si="0"/>
        <v>USD,20211002,,283510,,282010,1,1,1</v>
      </c>
    </row>
    <row r="35" spans="1:12">
      <c r="A35" s="270">
        <v>251800</v>
      </c>
      <c r="B35" s="270">
        <v>251690</v>
      </c>
      <c r="C35" s="270">
        <v>284710</v>
      </c>
      <c r="D35" s="270">
        <v>284710</v>
      </c>
      <c r="E35">
        <v>2200</v>
      </c>
      <c r="F35" s="137">
        <v>7.7999999999999996E-3</v>
      </c>
      <c r="G35" s="203">
        <v>44469</v>
      </c>
      <c r="H35" t="s">
        <v>7045</v>
      </c>
      <c r="I35" s="40" t="s">
        <v>6651</v>
      </c>
      <c r="L35" s="40" t="str">
        <f t="shared" si="0"/>
        <v>USD,20210930,,284710,,284710,1,1,1</v>
      </c>
    </row>
    <row r="36" spans="1:12">
      <c r="A36" s="270">
        <v>250780</v>
      </c>
      <c r="B36" s="270">
        <v>250690</v>
      </c>
      <c r="C36" s="270">
        <v>283210</v>
      </c>
      <c r="D36" s="270">
        <v>282510</v>
      </c>
      <c r="E36">
        <v>1800</v>
      </c>
      <c r="F36" s="137">
        <v>6.4000000000000003E-3</v>
      </c>
      <c r="G36" s="203">
        <v>44468</v>
      </c>
      <c r="H36" t="s">
        <v>7046</v>
      </c>
      <c r="I36" s="40" t="s">
        <v>6651</v>
      </c>
      <c r="L36" s="40" t="str">
        <f t="shared" si="0"/>
        <v>USD,20210929,,283210,,282510,1,1,1</v>
      </c>
    </row>
    <row r="37" spans="1:12">
      <c r="A37" s="270">
        <v>248130</v>
      </c>
      <c r="B37" s="270">
        <v>247890</v>
      </c>
      <c r="C37" s="270">
        <v>280710</v>
      </c>
      <c r="D37" s="270">
        <v>280710</v>
      </c>
      <c r="E37">
        <v>3900</v>
      </c>
      <c r="F37" s="137">
        <v>1.41E-2</v>
      </c>
      <c r="G37" s="203">
        <v>44467</v>
      </c>
      <c r="H37" t="s">
        <v>7047</v>
      </c>
      <c r="I37" s="40" t="s">
        <v>6651</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7048</v>
      </c>
      <c r="I38" s="40" t="s">
        <v>6651</v>
      </c>
      <c r="L38" s="40" t="str">
        <f t="shared" si="1"/>
        <v>USD,20210926,,276910,,276810,1,1,1</v>
      </c>
    </row>
    <row r="39" spans="1:12">
      <c r="A39" s="270">
        <v>246190</v>
      </c>
      <c r="B39" s="270">
        <v>246190</v>
      </c>
      <c r="C39" s="270">
        <v>276810</v>
      </c>
      <c r="D39" s="270">
        <v>275610</v>
      </c>
      <c r="E39">
        <v>1200</v>
      </c>
      <c r="F39" s="137">
        <v>4.4000000000000003E-3</v>
      </c>
      <c r="G39" s="203">
        <v>44464</v>
      </c>
      <c r="H39" t="s">
        <v>7049</v>
      </c>
      <c r="I39" s="40" t="s">
        <v>6651</v>
      </c>
      <c r="L39" s="40" t="str">
        <f t="shared" si="1"/>
        <v>USD,20210925,,276810,,275610,1,1,1</v>
      </c>
    </row>
    <row r="40" spans="1:12">
      <c r="A40" s="270">
        <v>246240</v>
      </c>
      <c r="B40" s="270">
        <v>246190</v>
      </c>
      <c r="C40" s="270">
        <v>276810</v>
      </c>
      <c r="D40" s="270">
        <v>276810</v>
      </c>
      <c r="E40">
        <v>1600</v>
      </c>
      <c r="F40" s="137">
        <v>5.7999999999999996E-3</v>
      </c>
      <c r="G40" s="203">
        <v>44462</v>
      </c>
      <c r="H40" t="s">
        <v>7043</v>
      </c>
      <c r="I40" s="40" t="s">
        <v>6651</v>
      </c>
      <c r="L40" s="40" t="str">
        <f t="shared" si="1"/>
        <v>USD,20210923,,276810,,276810,1,1,1</v>
      </c>
    </row>
    <row r="41" spans="1:12">
      <c r="A41" s="270">
        <v>244820</v>
      </c>
      <c r="B41" s="270">
        <v>244790</v>
      </c>
      <c r="C41" s="270">
        <v>276110</v>
      </c>
      <c r="D41" s="270">
        <v>275210</v>
      </c>
      <c r="E41">
        <v>1180</v>
      </c>
      <c r="F41" s="137">
        <v>4.3E-3</v>
      </c>
      <c r="G41" s="203">
        <v>44461</v>
      </c>
      <c r="H41" t="s">
        <v>7050</v>
      </c>
      <c r="I41" s="40" t="s">
        <v>6651</v>
      </c>
      <c r="L41" s="40" t="str">
        <f t="shared" si="1"/>
        <v>USD,20210922,,276110,,275210,1,1,1</v>
      </c>
    </row>
    <row r="42" spans="1:12">
      <c r="A42" s="270">
        <v>245600</v>
      </c>
      <c r="B42" s="270">
        <v>244090</v>
      </c>
      <c r="C42" s="270">
        <v>276310</v>
      </c>
      <c r="D42" s="270">
        <v>274030</v>
      </c>
      <c r="E42" t="s">
        <v>6650</v>
      </c>
      <c r="F42" t="s">
        <v>6650</v>
      </c>
      <c r="G42" s="203">
        <v>44460</v>
      </c>
      <c r="H42" t="s">
        <v>7051</v>
      </c>
      <c r="I42" s="40" t="s">
        <v>6651</v>
      </c>
      <c r="L42" s="40" t="str">
        <f t="shared" si="1"/>
        <v>USD,20210921,,276310,,274030,1,1,1</v>
      </c>
    </row>
    <row r="43" spans="1:12">
      <c r="A43" s="270">
        <v>246890</v>
      </c>
      <c r="B43" s="270">
        <v>245190</v>
      </c>
      <c r="C43" s="270">
        <v>274510</v>
      </c>
      <c r="D43" s="270">
        <v>274430</v>
      </c>
      <c r="E43">
        <v>220</v>
      </c>
      <c r="F43" s="137">
        <v>8.0000000000000004E-4</v>
      </c>
      <c r="G43" s="203">
        <v>44459</v>
      </c>
      <c r="H43" t="s">
        <v>7052</v>
      </c>
      <c r="I43" s="40" t="s">
        <v>6651</v>
      </c>
      <c r="L43" s="40" t="str">
        <f t="shared" si="1"/>
        <v>USD,20210920,,274510,,274430,1,1,1</v>
      </c>
    </row>
    <row r="44" spans="1:12">
      <c r="A44" s="270">
        <v>247610</v>
      </c>
      <c r="B44" s="270">
        <v>247190</v>
      </c>
      <c r="C44" s="270">
        <v>275010</v>
      </c>
      <c r="D44" s="270">
        <v>274650</v>
      </c>
      <c r="E44">
        <v>940</v>
      </c>
      <c r="F44" s="137">
        <v>3.3999999999999998E-3</v>
      </c>
      <c r="G44" s="203">
        <v>44458</v>
      </c>
      <c r="H44" t="s">
        <v>7053</v>
      </c>
      <c r="I44" s="40" t="s">
        <v>6651</v>
      </c>
      <c r="L44" s="40" t="str">
        <f t="shared" si="1"/>
        <v>USD,20210919,,275010,,274650,1,1,1</v>
      </c>
    </row>
    <row r="45" spans="1:12">
      <c r="A45" s="270">
        <v>246190</v>
      </c>
      <c r="B45" s="270">
        <v>246190</v>
      </c>
      <c r="C45" s="270">
        <v>276410</v>
      </c>
      <c r="D45" s="270">
        <v>273710</v>
      </c>
      <c r="E45">
        <v>750</v>
      </c>
      <c r="F45" s="137">
        <v>2.7000000000000001E-3</v>
      </c>
      <c r="G45" s="203">
        <v>44457</v>
      </c>
      <c r="H45" t="s">
        <v>7054</v>
      </c>
      <c r="I45" s="40" t="s">
        <v>6651</v>
      </c>
      <c r="L45" s="40" t="str">
        <f t="shared" si="1"/>
        <v>USD,20210918,,276410,,273710,1,1,1</v>
      </c>
    </row>
    <row r="46" spans="1:12">
      <c r="A46" s="270">
        <v>247610</v>
      </c>
      <c r="B46" s="270">
        <v>244990</v>
      </c>
      <c r="C46" s="270">
        <v>274510</v>
      </c>
      <c r="D46" s="270">
        <v>274460</v>
      </c>
      <c r="E46">
        <v>1250</v>
      </c>
      <c r="F46" s="137">
        <v>4.5999999999999999E-3</v>
      </c>
      <c r="G46" s="203">
        <v>44455</v>
      </c>
      <c r="H46" t="s">
        <v>7055</v>
      </c>
      <c r="I46" s="40" t="s">
        <v>6651</v>
      </c>
      <c r="L46" s="40" t="str">
        <f t="shared" si="1"/>
        <v>USD,20210916,,274510,,274460,1,1,1</v>
      </c>
    </row>
    <row r="47" spans="1:12">
      <c r="A47" s="270">
        <v>249740</v>
      </c>
      <c r="B47" s="270">
        <v>247090</v>
      </c>
      <c r="C47" s="270">
        <v>274210</v>
      </c>
      <c r="D47" s="270">
        <v>273210</v>
      </c>
      <c r="E47">
        <v>3260</v>
      </c>
      <c r="F47" s="137">
        <v>1.1900000000000001E-2</v>
      </c>
      <c r="G47" s="203">
        <v>44454</v>
      </c>
      <c r="H47" t="s">
        <v>7056</v>
      </c>
      <c r="I47" s="40" t="s">
        <v>6651</v>
      </c>
      <c r="L47" s="40" t="str">
        <f t="shared" si="1"/>
        <v>USD,20210915,,274210,,273210,1,1,1</v>
      </c>
    </row>
    <row r="48" spans="1:12">
      <c r="A48" s="270">
        <v>250040</v>
      </c>
      <c r="B48" s="270">
        <v>249290</v>
      </c>
      <c r="C48" s="270">
        <v>277310</v>
      </c>
      <c r="D48" s="270">
        <v>276470</v>
      </c>
      <c r="E48">
        <v>3360</v>
      </c>
      <c r="F48" s="137">
        <v>1.23E-2</v>
      </c>
      <c r="G48" s="203">
        <v>44453</v>
      </c>
      <c r="H48" t="s">
        <v>7057</v>
      </c>
      <c r="I48" s="40" t="s">
        <v>6651</v>
      </c>
      <c r="L48" s="40" t="str">
        <f t="shared" si="1"/>
        <v>USD,20210914,,277310,,276470,1,1,1</v>
      </c>
    </row>
    <row r="49" spans="1:12">
      <c r="A49" s="270">
        <v>249210</v>
      </c>
      <c r="B49" s="270">
        <v>248790</v>
      </c>
      <c r="C49" s="270">
        <v>273210</v>
      </c>
      <c r="D49" s="270">
        <v>273110</v>
      </c>
      <c r="E49">
        <v>600</v>
      </c>
      <c r="F49" s="137">
        <v>2.2000000000000001E-3</v>
      </c>
      <c r="G49" s="203">
        <v>44452</v>
      </c>
      <c r="H49" t="s">
        <v>7058</v>
      </c>
      <c r="I49" s="40" t="s">
        <v>6651</v>
      </c>
      <c r="L49" s="40" t="str">
        <f t="shared" si="1"/>
        <v>USD,20210913,,273210,,273110,1,1,1</v>
      </c>
    </row>
    <row r="50" spans="1:12">
      <c r="A50" s="270">
        <v>250340</v>
      </c>
      <c r="B50" s="270">
        <v>248190</v>
      </c>
      <c r="C50" s="270">
        <v>277210</v>
      </c>
      <c r="D50" s="270">
        <v>272510</v>
      </c>
      <c r="E50">
        <v>4800</v>
      </c>
      <c r="F50" s="137">
        <v>1.7600000000000001E-2</v>
      </c>
      <c r="G50" s="203">
        <v>44451</v>
      </c>
      <c r="H50" t="s">
        <v>7059</v>
      </c>
      <c r="I50" s="40" t="s">
        <v>6651</v>
      </c>
      <c r="L50" s="40" t="str">
        <f t="shared" si="1"/>
        <v>USD,20210912,,277210,,272510,1,1,1</v>
      </c>
    </row>
    <row r="51" spans="1:12">
      <c r="A51" s="270">
        <v>251070</v>
      </c>
      <c r="B51" s="270">
        <v>249490</v>
      </c>
      <c r="C51" s="270">
        <v>278810</v>
      </c>
      <c r="D51" s="270">
        <v>277310</v>
      </c>
      <c r="E51">
        <v>960</v>
      </c>
      <c r="F51" s="137">
        <v>3.5000000000000001E-3</v>
      </c>
      <c r="G51" s="203">
        <v>44450</v>
      </c>
      <c r="H51" t="s">
        <v>7060</v>
      </c>
      <c r="I51" s="40" t="s">
        <v>6651</v>
      </c>
      <c r="L51" s="40" t="str">
        <f t="shared" si="1"/>
        <v>USD,20210911,,278810,,277310,1,1,1</v>
      </c>
    </row>
    <row r="52" spans="1:12">
      <c r="A52" s="270">
        <v>250490</v>
      </c>
      <c r="B52" s="270">
        <v>250010</v>
      </c>
      <c r="C52" s="270">
        <v>279010</v>
      </c>
      <c r="D52" s="270">
        <v>278270</v>
      </c>
      <c r="E52">
        <v>1460</v>
      </c>
      <c r="F52" s="137">
        <v>5.3E-3</v>
      </c>
      <c r="G52" s="203">
        <v>44448</v>
      </c>
      <c r="H52" t="s">
        <v>7061</v>
      </c>
      <c r="I52" s="40" t="s">
        <v>6651</v>
      </c>
      <c r="L52" s="40" t="str">
        <f t="shared" si="1"/>
        <v>USD,20210909,,279010,,278270,1,1,1</v>
      </c>
    </row>
    <row r="53" spans="1:12">
      <c r="A53" s="270">
        <v>250990</v>
      </c>
      <c r="B53" s="270">
        <v>250590</v>
      </c>
      <c r="C53" s="270">
        <v>277310</v>
      </c>
      <c r="D53" s="270">
        <v>276810</v>
      </c>
      <c r="E53">
        <v>3000</v>
      </c>
      <c r="F53" s="137">
        <v>1.0999999999999999E-2</v>
      </c>
      <c r="G53" s="203">
        <v>44447</v>
      </c>
      <c r="H53" t="s">
        <v>7062</v>
      </c>
      <c r="I53" s="40" t="s">
        <v>6651</v>
      </c>
      <c r="L53" s="40" t="str">
        <f t="shared" si="1"/>
        <v>USD,20210908,,277310,,276810,1,1,1</v>
      </c>
    </row>
    <row r="54" spans="1:12">
      <c r="A54" s="270">
        <v>251220</v>
      </c>
      <c r="B54" s="270">
        <v>249490</v>
      </c>
      <c r="C54" s="270">
        <v>274010</v>
      </c>
      <c r="D54" s="270">
        <v>273810</v>
      </c>
      <c r="E54">
        <v>2600</v>
      </c>
      <c r="F54" s="137">
        <v>9.5999999999999992E-3</v>
      </c>
      <c r="G54" s="203">
        <v>44446</v>
      </c>
      <c r="H54" t="s">
        <v>7063</v>
      </c>
      <c r="I54" s="40" t="s">
        <v>6651</v>
      </c>
      <c r="L54" s="40" t="str">
        <f t="shared" si="1"/>
        <v>USD,20210907,,274010,,273810,1,1,1</v>
      </c>
    </row>
    <row r="55" spans="1:12">
      <c r="A55" s="270">
        <v>254490</v>
      </c>
      <c r="B55" s="270">
        <v>251090</v>
      </c>
      <c r="C55" s="270">
        <v>251640</v>
      </c>
      <c r="D55" s="270">
        <v>251090</v>
      </c>
      <c r="E55">
        <v>1370</v>
      </c>
      <c r="F55" s="137">
        <v>5.4999999999999997E-3</v>
      </c>
      <c r="G55" s="203">
        <v>44383</v>
      </c>
      <c r="H55" t="s">
        <v>6656</v>
      </c>
      <c r="I55" s="40" t="s">
        <v>6651</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6657</v>
      </c>
      <c r="I56" s="40" t="s">
        <v>6651</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6651</v>
      </c>
      <c r="L57" s="40" t="str">
        <f t="shared" si="2"/>
        <v>USD,20210704,254490,254640,251090,251510,1,1,1</v>
      </c>
    </row>
    <row r="58" spans="1:12">
      <c r="A58" s="270">
        <v>250020</v>
      </c>
      <c r="B58" s="270">
        <v>249990</v>
      </c>
      <c r="C58" s="270">
        <v>253840</v>
      </c>
      <c r="D58" s="270">
        <v>252360</v>
      </c>
      <c r="E58">
        <v>850</v>
      </c>
      <c r="F58" s="137">
        <v>3.3999999999999998E-3</v>
      </c>
      <c r="G58" s="203">
        <v>44380</v>
      </c>
      <c r="H58" t="s">
        <v>6658</v>
      </c>
      <c r="I58" s="40" t="s">
        <v>6651</v>
      </c>
      <c r="L58" s="40" t="str">
        <f t="shared" si="2"/>
        <v>USD,20210703,251600,253840,251390,252360,1,1,1</v>
      </c>
    </row>
    <row r="59" spans="1:12">
      <c r="A59" s="270">
        <v>249000</v>
      </c>
      <c r="B59" s="270">
        <v>248890</v>
      </c>
      <c r="C59" s="270">
        <v>253440</v>
      </c>
      <c r="D59" s="270">
        <v>251510</v>
      </c>
      <c r="E59">
        <v>2490</v>
      </c>
      <c r="F59" s="137">
        <v>9.9000000000000008E-3</v>
      </c>
      <c r="G59" s="203">
        <v>44378</v>
      </c>
      <c r="H59" t="s">
        <v>6659</v>
      </c>
      <c r="I59" s="40" t="s">
        <v>6651</v>
      </c>
      <c r="L59" s="40" t="str">
        <f t="shared" si="2"/>
        <v>USD,20210701,253290,253440,250690,251510,1,1,1</v>
      </c>
    </row>
    <row r="60" spans="1:12">
      <c r="A60" s="270">
        <v>246360</v>
      </c>
      <c r="B60" s="270">
        <v>246290</v>
      </c>
      <c r="C60" s="270">
        <v>254130</v>
      </c>
      <c r="D60" s="270">
        <v>254000</v>
      </c>
      <c r="E60">
        <v>4350</v>
      </c>
      <c r="F60" s="137">
        <v>1.7399999999999999E-2</v>
      </c>
      <c r="G60" s="203">
        <v>44377</v>
      </c>
      <c r="H60" t="s">
        <v>6660</v>
      </c>
      <c r="I60" s="40" t="s">
        <v>6651</v>
      </c>
      <c r="L60" s="40" t="str">
        <f t="shared" si="2"/>
        <v>USD,20210630,250020,254130,249990,254000,1,1,1</v>
      </c>
    </row>
    <row r="61" spans="1:12">
      <c r="A61" s="270">
        <v>243490</v>
      </c>
      <c r="B61" s="270">
        <v>243490</v>
      </c>
      <c r="C61" s="270">
        <v>252040</v>
      </c>
      <c r="D61" s="270">
        <v>249650</v>
      </c>
      <c r="E61">
        <v>2530</v>
      </c>
      <c r="F61" s="137">
        <v>1.0200000000000001E-2</v>
      </c>
      <c r="G61" s="203">
        <v>44376</v>
      </c>
      <c r="H61" t="s">
        <v>6661</v>
      </c>
      <c r="I61" s="40" t="s">
        <v>6651</v>
      </c>
      <c r="L61" s="40" t="str">
        <f t="shared" si="2"/>
        <v>USD,20210629,249000,252040,248890,249650,1,1,1</v>
      </c>
    </row>
    <row r="62" spans="1:12">
      <c r="A62" s="270">
        <v>244500</v>
      </c>
      <c r="B62" s="270">
        <v>242290</v>
      </c>
      <c r="C62" s="270">
        <v>248640</v>
      </c>
      <c r="D62" s="270">
        <v>247120</v>
      </c>
      <c r="E62">
        <v>350</v>
      </c>
      <c r="F62" s="137">
        <v>1.4E-3</v>
      </c>
      <c r="G62" s="203">
        <v>44375</v>
      </c>
      <c r="H62" t="s">
        <v>6662</v>
      </c>
      <c r="I62" s="40" t="s">
        <v>6651</v>
      </c>
      <c r="L62" s="40" t="str">
        <f t="shared" si="2"/>
        <v>USD,20210628,246360,248640,246290,247120,1,1,1</v>
      </c>
    </row>
    <row r="63" spans="1:12">
      <c r="A63" s="270">
        <v>241690</v>
      </c>
      <c r="B63" s="270">
        <v>241190</v>
      </c>
      <c r="C63" s="270">
        <v>246940</v>
      </c>
      <c r="D63" s="270">
        <v>246770</v>
      </c>
      <c r="E63">
        <v>2230</v>
      </c>
      <c r="F63" s="137">
        <v>9.1000000000000004E-3</v>
      </c>
      <c r="G63" s="203">
        <v>44374</v>
      </c>
      <c r="H63" t="s">
        <v>6663</v>
      </c>
      <c r="I63" s="40" t="s">
        <v>6651</v>
      </c>
      <c r="L63" s="40" t="str">
        <f t="shared" si="2"/>
        <v>USD,20210627,243490,246940,243490,246770,1,1,1</v>
      </c>
    </row>
    <row r="64" spans="1:12">
      <c r="A64" s="270">
        <v>243310</v>
      </c>
      <c r="B64" s="270">
        <v>240790</v>
      </c>
      <c r="C64" s="270">
        <v>245940</v>
      </c>
      <c r="D64" s="270">
        <v>244540</v>
      </c>
      <c r="E64">
        <v>2650</v>
      </c>
      <c r="F64" s="137">
        <v>1.0999999999999999E-2</v>
      </c>
      <c r="G64" s="203">
        <v>44373</v>
      </c>
      <c r="H64" t="s">
        <v>6664</v>
      </c>
      <c r="I64" s="40" t="s">
        <v>6651</v>
      </c>
      <c r="L64" s="40" t="str">
        <f t="shared" si="2"/>
        <v>USD,20210626,244500,245940,242290,244540,1,1,1</v>
      </c>
    </row>
    <row r="65" spans="1:12">
      <c r="A65" s="270">
        <v>241190</v>
      </c>
      <c r="B65" s="270">
        <v>241190</v>
      </c>
      <c r="C65" s="270">
        <v>242440</v>
      </c>
      <c r="D65" s="270">
        <v>241890</v>
      </c>
      <c r="E65">
        <v>100</v>
      </c>
      <c r="F65" s="137">
        <v>4.0000000000000002E-4</v>
      </c>
      <c r="G65" s="203">
        <v>44371</v>
      </c>
      <c r="H65" t="s">
        <v>6665</v>
      </c>
      <c r="I65" s="40" t="s">
        <v>6651</v>
      </c>
      <c r="L65" s="40" t="str">
        <f t="shared" si="2"/>
        <v>USD,20210624,241690,242440,241190,241890,1,1,1</v>
      </c>
    </row>
    <row r="66" spans="1:12">
      <c r="A66" s="270">
        <v>239940</v>
      </c>
      <c r="B66" s="270">
        <v>239190</v>
      </c>
      <c r="C66" s="270">
        <v>243340</v>
      </c>
      <c r="D66" s="270">
        <v>241790</v>
      </c>
      <c r="E66">
        <v>880</v>
      </c>
      <c r="F66" s="137">
        <v>3.5999999999999999E-3</v>
      </c>
      <c r="G66" s="203">
        <v>44370</v>
      </c>
      <c r="H66" t="s">
        <v>6666</v>
      </c>
      <c r="I66" s="40" t="s">
        <v>6651</v>
      </c>
      <c r="L66" s="40" t="str">
        <f t="shared" si="2"/>
        <v>USD,20210623,243310,243340,240790,241790,1,1,1</v>
      </c>
    </row>
    <row r="67" spans="1:12">
      <c r="A67" s="270">
        <v>234810</v>
      </c>
      <c r="B67" s="270">
        <v>234690</v>
      </c>
      <c r="C67" s="270">
        <v>243140</v>
      </c>
      <c r="D67" s="270">
        <v>242670</v>
      </c>
      <c r="E67">
        <v>1680</v>
      </c>
      <c r="F67" s="137">
        <v>7.0000000000000001E-3</v>
      </c>
      <c r="G67" s="203">
        <v>44369</v>
      </c>
      <c r="H67" t="s">
        <v>6667</v>
      </c>
      <c r="I67" s="40" t="s">
        <v>6651</v>
      </c>
      <c r="L67" s="40" t="str">
        <f t="shared" si="2"/>
        <v>USD,20210622,241190,243140,241190,242670,1,1,1</v>
      </c>
    </row>
    <row r="68" spans="1:12">
      <c r="A68" s="270">
        <v>244490</v>
      </c>
      <c r="B68" s="270">
        <v>234690</v>
      </c>
      <c r="C68" s="270">
        <v>241440</v>
      </c>
      <c r="D68" s="270">
        <v>240990</v>
      </c>
      <c r="E68">
        <v>1390</v>
      </c>
      <c r="F68" s="137">
        <v>5.7999999999999996E-3</v>
      </c>
      <c r="G68" s="203">
        <v>44368</v>
      </c>
      <c r="H68" t="s">
        <v>6668</v>
      </c>
      <c r="I68" s="40" t="s">
        <v>6651</v>
      </c>
      <c r="L68" s="40" t="str">
        <f t="shared" si="2"/>
        <v>USD,20210621,239940,241440,239190,240990,1,1,1</v>
      </c>
    </row>
    <row r="69" spans="1:12">
      <c r="A69" s="270">
        <v>242010</v>
      </c>
      <c r="B69" s="270">
        <v>241950</v>
      </c>
      <c r="C69" s="270">
        <v>240440</v>
      </c>
      <c r="D69" s="270">
        <v>239600</v>
      </c>
      <c r="E69">
        <v>4710</v>
      </c>
      <c r="F69" s="137">
        <v>2.01E-2</v>
      </c>
      <c r="G69" s="203">
        <v>44367</v>
      </c>
      <c r="H69" t="s">
        <v>6669</v>
      </c>
      <c r="I69" s="40" t="s">
        <v>6651</v>
      </c>
      <c r="L69" s="40" t="str">
        <f t="shared" si="2"/>
        <v>USD,20210620,234810,240440,234690,239600,1,1,1</v>
      </c>
    </row>
    <row r="70" spans="1:12">
      <c r="A70" s="270">
        <v>240470</v>
      </c>
      <c r="B70" s="270">
        <v>239450</v>
      </c>
      <c r="C70" s="270">
        <v>244640</v>
      </c>
      <c r="D70" s="270">
        <v>234890</v>
      </c>
      <c r="E70">
        <v>9400</v>
      </c>
      <c r="F70" s="414">
        <v>0.04</v>
      </c>
      <c r="G70" s="203">
        <v>44366</v>
      </c>
      <c r="H70" t="s">
        <v>6670</v>
      </c>
      <c r="I70" s="40" t="s">
        <v>6651</v>
      </c>
      <c r="L70" s="40" t="str">
        <f t="shared" si="2"/>
        <v>USD,20210619,244490,244640,234690,234890,1,1,1</v>
      </c>
    </row>
    <row r="71" spans="1:12">
      <c r="A71" s="270">
        <v>239970</v>
      </c>
      <c r="B71" s="270">
        <v>239950</v>
      </c>
      <c r="C71" s="270">
        <v>244640</v>
      </c>
      <c r="D71" s="270">
        <v>244290</v>
      </c>
      <c r="E71">
        <v>2540</v>
      </c>
      <c r="F71" s="137">
        <v>1.0500000000000001E-2</v>
      </c>
      <c r="G71" s="203">
        <v>44364</v>
      </c>
      <c r="H71" t="s">
        <v>6671</v>
      </c>
      <c r="I71" s="40" t="s">
        <v>6651</v>
      </c>
      <c r="L71" s="40" t="str">
        <f t="shared" si="2"/>
        <v>USD,20210617,242010,244640,241950,244290,1,1,1</v>
      </c>
    </row>
    <row r="72" spans="1:12">
      <c r="A72" s="270">
        <v>240970</v>
      </c>
      <c r="B72" s="270">
        <v>238550</v>
      </c>
      <c r="C72" s="270">
        <v>242250</v>
      </c>
      <c r="D72" s="270">
        <v>241750</v>
      </c>
      <c r="E72">
        <v>1260</v>
      </c>
      <c r="F72" s="137">
        <v>5.1999999999999998E-3</v>
      </c>
      <c r="G72" s="203">
        <v>44363</v>
      </c>
      <c r="H72" t="s">
        <v>6672</v>
      </c>
      <c r="I72" s="40" t="s">
        <v>6651</v>
      </c>
      <c r="L72" s="40" t="str">
        <f t="shared" si="2"/>
        <v>USD,20210616,240470,242250,239450,241750,1,1,1</v>
      </c>
    </row>
    <row r="73" spans="1:12">
      <c r="A73" s="270">
        <v>238970</v>
      </c>
      <c r="B73" s="270">
        <v>238940</v>
      </c>
      <c r="C73" s="270">
        <v>240050</v>
      </c>
      <c r="D73" s="270">
        <v>240490</v>
      </c>
      <c r="E73">
        <v>770</v>
      </c>
      <c r="F73" s="137">
        <v>3.2000000000000002E-3</v>
      </c>
      <c r="G73" s="203">
        <v>44362</v>
      </c>
      <c r="H73" t="s">
        <v>6673</v>
      </c>
      <c r="I73" s="40" t="s">
        <v>6651</v>
      </c>
      <c r="L73" s="40" t="str">
        <f t="shared" si="2"/>
        <v>USD,20210615,239970,240050,239950,240490,1,1,1</v>
      </c>
    </row>
    <row r="74" spans="1:12">
      <c r="A74" s="270">
        <v>236830</v>
      </c>
      <c r="B74" s="270">
        <v>236140</v>
      </c>
      <c r="C74" s="270">
        <v>241050</v>
      </c>
      <c r="D74" s="270">
        <v>239720</v>
      </c>
      <c r="E74">
        <v>1310</v>
      </c>
      <c r="F74" s="137">
        <v>5.4999999999999997E-3</v>
      </c>
      <c r="G74" s="203">
        <v>44361</v>
      </c>
      <c r="H74" t="s">
        <v>6674</v>
      </c>
      <c r="I74" s="40" t="s">
        <v>6651</v>
      </c>
      <c r="L74" s="40" t="str">
        <f t="shared" si="2"/>
        <v>USD,20210614,240970,241050,238550,239720,1,1,1</v>
      </c>
    </row>
    <row r="75" spans="1:12">
      <c r="A75" s="270">
        <v>240010</v>
      </c>
      <c r="B75" s="270">
        <v>239140</v>
      </c>
      <c r="C75" s="270">
        <v>241250</v>
      </c>
      <c r="D75" s="270">
        <v>241030</v>
      </c>
      <c r="E75">
        <v>3280</v>
      </c>
      <c r="F75" s="137">
        <v>1.38E-2</v>
      </c>
      <c r="G75" s="203">
        <v>44360</v>
      </c>
      <c r="H75" t="s">
        <v>6675</v>
      </c>
      <c r="I75" s="40" t="s">
        <v>6651</v>
      </c>
      <c r="L75" s="40" t="str">
        <f t="shared" si="2"/>
        <v>USD,20210613,238970,241250,238940,241030,1,1,1</v>
      </c>
    </row>
    <row r="76" spans="1:12">
      <c r="A76" s="270">
        <v>235480</v>
      </c>
      <c r="B76" s="270">
        <v>235440</v>
      </c>
      <c r="C76" s="270">
        <v>238350</v>
      </c>
      <c r="D76" s="270">
        <v>237750</v>
      </c>
      <c r="E76">
        <v>1480</v>
      </c>
      <c r="F76" s="137">
        <v>6.1999999999999998E-3</v>
      </c>
      <c r="G76" s="203">
        <v>44359</v>
      </c>
      <c r="H76" t="s">
        <v>6676</v>
      </c>
      <c r="I76" s="40" t="s">
        <v>6651</v>
      </c>
      <c r="L76" s="40" t="str">
        <f t="shared" si="2"/>
        <v>USD,20210612,236830,238350,236140,237750,1,1,1</v>
      </c>
    </row>
    <row r="77" spans="1:12">
      <c r="A77" s="270">
        <v>235890</v>
      </c>
      <c r="B77" s="270">
        <v>234820</v>
      </c>
      <c r="C77" s="270">
        <v>240450</v>
      </c>
      <c r="D77" s="270">
        <v>239230</v>
      </c>
      <c r="E77">
        <v>2210</v>
      </c>
      <c r="F77" s="137">
        <v>9.1999999999999998E-3</v>
      </c>
      <c r="G77" s="203">
        <v>44357</v>
      </c>
      <c r="H77" t="s">
        <v>6677</v>
      </c>
      <c r="I77" s="40" t="s">
        <v>6651</v>
      </c>
      <c r="L77" s="40" t="str">
        <f t="shared" si="2"/>
        <v>USD,20210610,240010,240450,239140,239230,1,1,1</v>
      </c>
    </row>
    <row r="78" spans="1:12">
      <c r="A78" s="270">
        <v>234340</v>
      </c>
      <c r="B78" s="270">
        <v>234240</v>
      </c>
      <c r="C78" s="270">
        <v>241550</v>
      </c>
      <c r="D78" s="270">
        <v>241440</v>
      </c>
      <c r="E78">
        <v>5950</v>
      </c>
      <c r="F78" s="137">
        <v>2.53E-2</v>
      </c>
      <c r="G78" s="203">
        <v>44356</v>
      </c>
      <c r="H78" t="s">
        <v>6678</v>
      </c>
      <c r="I78" s="40" t="s">
        <v>6651</v>
      </c>
      <c r="L78" s="40" t="str">
        <f t="shared" si="2"/>
        <v>USD,20210609,235480,241550,235440,241440,1,1,1</v>
      </c>
    </row>
    <row r="79" spans="1:12">
      <c r="A79" s="270">
        <v>234330</v>
      </c>
      <c r="B79" s="270">
        <v>233900</v>
      </c>
      <c r="C79" s="270">
        <v>235960</v>
      </c>
      <c r="D79" s="270">
        <v>235490</v>
      </c>
      <c r="E79">
        <v>460</v>
      </c>
      <c r="F79" s="137">
        <v>2E-3</v>
      </c>
      <c r="G79" s="203">
        <v>44355</v>
      </c>
      <c r="H79" t="s">
        <v>6679</v>
      </c>
      <c r="I79" s="40" t="s">
        <v>6651</v>
      </c>
      <c r="L79" s="40" t="str">
        <f t="shared" si="2"/>
        <v>USD,20210608,235890,235960,234820,235490,1,1,1</v>
      </c>
    </row>
    <row r="80" spans="1:12">
      <c r="A80" s="270">
        <v>234060</v>
      </c>
      <c r="B80" s="270">
        <v>228150</v>
      </c>
      <c r="C80" s="270">
        <v>235960</v>
      </c>
      <c r="D80" s="270">
        <v>235950</v>
      </c>
      <c r="E80">
        <v>1620</v>
      </c>
      <c r="F80" s="137">
        <v>6.8999999999999999E-3</v>
      </c>
      <c r="G80" s="203">
        <v>44354</v>
      </c>
      <c r="H80" t="s">
        <v>6680</v>
      </c>
      <c r="I80" s="40" t="s">
        <v>6651</v>
      </c>
      <c r="L80" s="40" t="str">
        <f t="shared" si="2"/>
        <v>USD,20210607,234340,235960,234240,235950,1,1,1</v>
      </c>
    </row>
    <row r="81" spans="1:12">
      <c r="A81" s="270">
        <v>234000</v>
      </c>
      <c r="B81" s="270">
        <v>233970</v>
      </c>
      <c r="C81" s="270">
        <v>234350</v>
      </c>
      <c r="D81" s="270">
        <v>234330</v>
      </c>
      <c r="E81">
        <v>90</v>
      </c>
      <c r="F81" s="137">
        <v>4.0000000000000002E-4</v>
      </c>
      <c r="G81" s="203">
        <v>44350</v>
      </c>
      <c r="H81" t="s">
        <v>6681</v>
      </c>
      <c r="I81" s="40" t="s">
        <v>6651</v>
      </c>
      <c r="L81" s="40" t="str">
        <f t="shared" si="2"/>
        <v>USD,20210603,234330,234350,233900,234330,1,1,1</v>
      </c>
    </row>
    <row r="82" spans="1:12">
      <c r="A82" s="270">
        <v>238590</v>
      </c>
      <c r="B82" s="270">
        <v>232950</v>
      </c>
      <c r="C82" s="270">
        <v>234360</v>
      </c>
      <c r="D82" s="270">
        <v>234240</v>
      </c>
      <c r="E82">
        <v>80</v>
      </c>
      <c r="F82" s="137">
        <v>2.9999999999999997E-4</v>
      </c>
      <c r="G82" s="203">
        <v>44349</v>
      </c>
      <c r="H82" t="s">
        <v>6682</v>
      </c>
      <c r="I82" s="40" t="s">
        <v>6651</v>
      </c>
      <c r="L82" s="40" t="str">
        <f t="shared" si="2"/>
        <v>USD,20210602,234060,234360,228150,234240,1,1,1</v>
      </c>
    </row>
    <row r="83" spans="1:12">
      <c r="A83" s="270">
        <v>234640</v>
      </c>
      <c r="B83" s="270">
        <v>234550</v>
      </c>
      <c r="C83" s="270">
        <v>238660</v>
      </c>
      <c r="D83" s="270">
        <v>234160</v>
      </c>
      <c r="E83">
        <v>100</v>
      </c>
      <c r="F83" s="137">
        <v>4.0000000000000002E-4</v>
      </c>
      <c r="G83" s="203">
        <v>44348</v>
      </c>
      <c r="H83" t="s">
        <v>6683</v>
      </c>
      <c r="I83" s="40" t="s">
        <v>6651</v>
      </c>
      <c r="L83" s="40" t="str">
        <f t="shared" si="2"/>
        <v>USD,20210601,234000,238660,233970,234160,1,1,1</v>
      </c>
    </row>
    <row r="84" spans="1:12">
      <c r="A84" s="270">
        <v>226560</v>
      </c>
      <c r="B84" s="270">
        <v>226460</v>
      </c>
      <c r="C84" s="270">
        <v>238660</v>
      </c>
      <c r="D84" s="270">
        <v>234060</v>
      </c>
      <c r="E84">
        <v>4510</v>
      </c>
      <c r="F84" s="137">
        <v>1.9300000000000001E-2</v>
      </c>
      <c r="G84" s="203">
        <v>44347</v>
      </c>
      <c r="H84" t="s">
        <v>6684</v>
      </c>
      <c r="I84" s="40" t="s">
        <v>6651</v>
      </c>
      <c r="L84" s="40" t="str">
        <f t="shared" si="2"/>
        <v>USD,20210531,238590,238660,232950,234060,1,1,1</v>
      </c>
    </row>
    <row r="85" spans="1:12">
      <c r="A85" s="270">
        <v>225260</v>
      </c>
      <c r="B85" s="270">
        <v>225170</v>
      </c>
      <c r="C85" s="270">
        <v>238660</v>
      </c>
      <c r="D85" s="270">
        <v>238570</v>
      </c>
      <c r="E85">
        <v>3910</v>
      </c>
      <c r="F85" s="137">
        <v>1.67E-2</v>
      </c>
      <c r="G85" s="203">
        <v>44346</v>
      </c>
      <c r="H85" t="s">
        <v>6685</v>
      </c>
      <c r="I85" s="40" t="s">
        <v>6651</v>
      </c>
      <c r="L85" s="40" t="str">
        <f t="shared" si="2"/>
        <v>USD,20210530,234640,238660,234550,238570,1,1,1</v>
      </c>
    </row>
    <row r="86" spans="1:12">
      <c r="A86" s="270">
        <v>224190</v>
      </c>
      <c r="B86" s="270">
        <v>224100</v>
      </c>
      <c r="C86" s="270">
        <v>234660</v>
      </c>
      <c r="D86" s="270">
        <v>234660</v>
      </c>
      <c r="E86" t="s">
        <v>6650</v>
      </c>
      <c r="F86" t="s">
        <v>6650</v>
      </c>
      <c r="G86" s="203">
        <v>44345</v>
      </c>
      <c r="H86" t="s">
        <v>6686</v>
      </c>
      <c r="I86" s="40" t="s">
        <v>6651</v>
      </c>
      <c r="L86" s="40" t="str">
        <f t="shared" si="2"/>
        <v>USD,20210529,226560,234660,226460,234660,1,1,1</v>
      </c>
    </row>
    <row r="87" spans="1:12">
      <c r="A87" s="270">
        <v>224120</v>
      </c>
      <c r="B87" s="270">
        <v>223150</v>
      </c>
      <c r="C87" s="270">
        <v>231470</v>
      </c>
      <c r="D87" s="270">
        <v>231470</v>
      </c>
      <c r="E87">
        <v>6310</v>
      </c>
      <c r="F87" s="137">
        <v>2.8000000000000001E-2</v>
      </c>
      <c r="G87" s="203">
        <v>44343</v>
      </c>
      <c r="H87" t="s">
        <v>6687</v>
      </c>
      <c r="I87" s="40" t="s">
        <v>6651</v>
      </c>
      <c r="L87" s="40" t="str">
        <f t="shared" si="2"/>
        <v>USD,20210527,225260,231470,225170,231470,1,1,1</v>
      </c>
    </row>
    <row r="88" spans="1:12">
      <c r="A88" s="270">
        <v>223590</v>
      </c>
      <c r="B88" s="270">
        <v>223490</v>
      </c>
      <c r="C88" s="270">
        <v>225270</v>
      </c>
      <c r="D88" s="270">
        <v>225160</v>
      </c>
      <c r="E88">
        <v>1060</v>
      </c>
      <c r="F88" s="137">
        <v>4.7000000000000002E-3</v>
      </c>
      <c r="G88" s="203">
        <v>44342</v>
      </c>
      <c r="H88" t="s">
        <v>6688</v>
      </c>
      <c r="I88" s="40" t="s">
        <v>6651</v>
      </c>
      <c r="L88" s="40" t="str">
        <f t="shared" si="2"/>
        <v>USD,20210526,224190,225270,224100,225160,1,1,1</v>
      </c>
    </row>
    <row r="89" spans="1:12">
      <c r="A89" s="270">
        <v>223440</v>
      </c>
      <c r="B89" s="270">
        <v>223390</v>
      </c>
      <c r="C89" s="270">
        <v>224430</v>
      </c>
      <c r="D89" s="270">
        <v>224100</v>
      </c>
      <c r="E89">
        <v>10</v>
      </c>
      <c r="F89" t="s">
        <v>6650</v>
      </c>
      <c r="G89" s="203">
        <v>44341</v>
      </c>
      <c r="H89" t="s">
        <v>6689</v>
      </c>
      <c r="I89" s="40" t="s">
        <v>6651</v>
      </c>
      <c r="L89" s="40" t="str">
        <f t="shared" si="2"/>
        <v>USD,20210525,224120,224430,223150,224100,1,1,1</v>
      </c>
    </row>
    <row r="90" spans="1:12">
      <c r="A90" s="270">
        <v>222980</v>
      </c>
      <c r="B90" s="270">
        <v>222930</v>
      </c>
      <c r="C90" s="270">
        <v>225110</v>
      </c>
      <c r="D90" s="270">
        <v>224110</v>
      </c>
      <c r="E90">
        <v>600</v>
      </c>
      <c r="F90" s="137">
        <v>2.7000000000000001E-3</v>
      </c>
      <c r="G90" s="203">
        <v>44340</v>
      </c>
      <c r="H90" t="s">
        <v>6690</v>
      </c>
      <c r="I90" s="40" t="s">
        <v>6651</v>
      </c>
      <c r="L90" s="40" t="str">
        <f t="shared" si="2"/>
        <v>USD,20210524,223590,225110,223490,224110,1,1,1</v>
      </c>
    </row>
    <row r="91" spans="1:12">
      <c r="A91" s="270">
        <v>223990</v>
      </c>
      <c r="B91" s="270">
        <v>222930</v>
      </c>
      <c r="C91" s="270">
        <v>223990</v>
      </c>
      <c r="D91" s="270">
        <v>223510</v>
      </c>
      <c r="E91">
        <v>20</v>
      </c>
      <c r="F91" s="137">
        <v>1E-4</v>
      </c>
      <c r="G91" s="203">
        <v>44339</v>
      </c>
      <c r="H91" t="s">
        <v>6691</v>
      </c>
      <c r="I91" s="40" t="s">
        <v>6651</v>
      </c>
      <c r="L91" s="40" t="str">
        <f t="shared" si="2"/>
        <v>USD,20210523,223440,223990,223390,223510,1,1,1</v>
      </c>
    </row>
    <row r="92" spans="1:12">
      <c r="A92" s="270">
        <v>225270</v>
      </c>
      <c r="B92" s="270">
        <v>221720</v>
      </c>
      <c r="C92" s="270">
        <v>223550</v>
      </c>
      <c r="D92" s="270">
        <v>223490</v>
      </c>
      <c r="E92">
        <v>490</v>
      </c>
      <c r="F92" s="137">
        <v>2.2000000000000001E-3</v>
      </c>
      <c r="G92" s="203">
        <v>44338</v>
      </c>
      <c r="H92" t="s">
        <v>6692</v>
      </c>
      <c r="I92" s="40" t="s">
        <v>6651</v>
      </c>
      <c r="L92" s="40" t="str">
        <f t="shared" si="2"/>
        <v>USD,20210522,222980,223550,222930,223490,1,1,1</v>
      </c>
    </row>
    <row r="93" spans="1:12">
      <c r="A93" s="270">
        <v>222240</v>
      </c>
      <c r="B93" s="270">
        <v>222140</v>
      </c>
      <c r="C93" s="270">
        <v>224020</v>
      </c>
      <c r="D93" s="270">
        <v>223000</v>
      </c>
      <c r="E93">
        <v>1210</v>
      </c>
      <c r="F93" s="137">
        <v>5.4999999999999997E-3</v>
      </c>
      <c r="G93" s="203">
        <v>44336</v>
      </c>
      <c r="H93" t="s">
        <v>6693</v>
      </c>
      <c r="I93" s="40" t="s">
        <v>6651</v>
      </c>
      <c r="L93" s="40" t="str">
        <f t="shared" si="2"/>
        <v>USD,20210520,223990,224020,222930,223000,1,1,1</v>
      </c>
    </row>
    <row r="94" spans="1:12">
      <c r="A94" s="270">
        <v>224160</v>
      </c>
      <c r="B94" s="270">
        <v>222140</v>
      </c>
      <c r="C94" s="270">
        <v>225380</v>
      </c>
      <c r="D94" s="270">
        <v>221790</v>
      </c>
      <c r="E94">
        <v>3550</v>
      </c>
      <c r="F94" s="137">
        <v>1.6E-2</v>
      </c>
      <c r="G94" s="203">
        <v>44335</v>
      </c>
      <c r="H94" t="s">
        <v>6694</v>
      </c>
      <c r="I94" s="40" t="s">
        <v>6651</v>
      </c>
      <c r="L94" s="40" t="str">
        <f t="shared" si="2"/>
        <v>USD,20210519,225270,225380,221720,221790,1,1,1</v>
      </c>
    </row>
    <row r="95" spans="1:12">
      <c r="A95" s="270">
        <v>220520</v>
      </c>
      <c r="B95" s="270">
        <v>220410</v>
      </c>
      <c r="C95" s="270">
        <v>225380</v>
      </c>
      <c r="D95" s="270">
        <v>225340</v>
      </c>
      <c r="E95">
        <v>3150</v>
      </c>
      <c r="F95" s="137">
        <v>1.4200000000000001E-2</v>
      </c>
      <c r="G95" s="203">
        <v>44334</v>
      </c>
      <c r="H95" t="s">
        <v>6696</v>
      </c>
      <c r="I95" s="40" t="s">
        <v>6651</v>
      </c>
      <c r="L95" s="40" t="str">
        <f t="shared" si="2"/>
        <v>USD,20210518,222240,225380,222140,225340,1,1,1</v>
      </c>
    </row>
    <row r="96" spans="1:12">
      <c r="A96" s="270">
        <v>220760</v>
      </c>
      <c r="B96" s="270">
        <v>220410</v>
      </c>
      <c r="C96" s="270">
        <v>225270</v>
      </c>
      <c r="D96" s="270">
        <v>222190</v>
      </c>
      <c r="E96">
        <v>1950</v>
      </c>
      <c r="F96" s="137">
        <v>8.8000000000000005E-3</v>
      </c>
      <c r="G96" s="203">
        <v>44333</v>
      </c>
      <c r="H96" t="s">
        <v>6697</v>
      </c>
      <c r="I96" s="40" t="s">
        <v>6651</v>
      </c>
      <c r="L96" s="40" t="str">
        <f t="shared" si="2"/>
        <v>USD,20210517,224160,225270,222140,222190,1,1,1</v>
      </c>
    </row>
    <row r="97" spans="1:12">
      <c r="A97" s="270">
        <v>219790</v>
      </c>
      <c r="B97" s="270">
        <v>216130</v>
      </c>
      <c r="C97" s="270">
        <v>224160</v>
      </c>
      <c r="D97" s="270">
        <v>224140</v>
      </c>
      <c r="E97">
        <v>3640</v>
      </c>
      <c r="F97" s="137">
        <v>1.6500000000000001E-2</v>
      </c>
      <c r="G97" s="203">
        <v>44332</v>
      </c>
      <c r="H97" t="s">
        <v>6698</v>
      </c>
      <c r="I97" s="40" t="s">
        <v>6651</v>
      </c>
      <c r="L97" s="40" t="str">
        <f t="shared" si="2"/>
        <v>USD,20210516,220520,224160,220410,224140,1,1,1</v>
      </c>
    </row>
    <row r="98" spans="1:12">
      <c r="A98" s="270">
        <v>221860</v>
      </c>
      <c r="B98" s="270">
        <v>219750</v>
      </c>
      <c r="C98" s="270">
        <v>221880</v>
      </c>
      <c r="D98" s="270">
        <v>220500</v>
      </c>
      <c r="E98">
        <v>4370</v>
      </c>
      <c r="F98" s="137">
        <v>2.0199999999999999E-2</v>
      </c>
      <c r="G98" s="203">
        <v>44331</v>
      </c>
      <c r="H98" t="s">
        <v>6699</v>
      </c>
      <c r="I98" s="40" t="s">
        <v>6651</v>
      </c>
      <c r="L98" s="40" t="str">
        <f t="shared" si="2"/>
        <v>USD,20210515,220760,221880,220410,220500,1,1,1</v>
      </c>
    </row>
    <row r="99" spans="1:12">
      <c r="A99" s="270">
        <v>216080</v>
      </c>
      <c r="B99" s="270">
        <v>216080</v>
      </c>
      <c r="C99" s="270">
        <v>219860</v>
      </c>
      <c r="D99" s="270">
        <v>216130</v>
      </c>
      <c r="E99">
        <v>3620</v>
      </c>
      <c r="F99" s="137">
        <v>1.67E-2</v>
      </c>
      <c r="G99" s="203">
        <v>44329</v>
      </c>
      <c r="H99" t="s">
        <v>6700</v>
      </c>
      <c r="I99" s="40" t="s">
        <v>6651</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6701</v>
      </c>
      <c r="I100" s="40" t="s">
        <v>6651</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6702</v>
      </c>
      <c r="I101" s="40" t="s">
        <v>6651</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6703</v>
      </c>
      <c r="I102" s="40" t="s">
        <v>6651</v>
      </c>
      <c r="L102" s="40" t="str">
        <f t="shared" si="2"/>
        <v>USD,20210510,207240,217040,207190,216130,1,1,1</v>
      </c>
    </row>
    <row r="103" spans="1:12">
      <c r="A103" s="270">
        <v>206440</v>
      </c>
      <c r="B103" s="270">
        <v>206370</v>
      </c>
      <c r="C103" s="270">
        <v>207300</v>
      </c>
      <c r="D103" s="270">
        <v>207260</v>
      </c>
      <c r="E103">
        <v>890</v>
      </c>
      <c r="F103" s="137">
        <v>4.3E-3</v>
      </c>
      <c r="G103" s="203">
        <v>44325</v>
      </c>
      <c r="H103" t="s">
        <v>6704</v>
      </c>
      <c r="I103" s="40" t="s">
        <v>6651</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6705</v>
      </c>
      <c r="I104" s="40" t="s">
        <v>6651</v>
      </c>
      <c r="L104" s="40" t="str">
        <f t="shared" si="2"/>
        <v>USD,20210508,206390,206480,206370,206370,1,1,1</v>
      </c>
    </row>
    <row r="105" spans="1:12">
      <c r="A105" s="270">
        <v>218430</v>
      </c>
      <c r="B105" s="270">
        <v>217260</v>
      </c>
      <c r="C105" s="270">
        <v>206480</v>
      </c>
      <c r="D105" s="270">
        <v>206480</v>
      </c>
      <c r="E105">
        <v>2970</v>
      </c>
      <c r="F105" s="137">
        <v>1.44E-2</v>
      </c>
      <c r="G105" s="203">
        <v>44322</v>
      </c>
      <c r="H105" t="s">
        <v>6706</v>
      </c>
      <c r="I105" s="40" t="s">
        <v>6651</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6707</v>
      </c>
      <c r="I106" s="40" t="s">
        <v>6651</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6708</v>
      </c>
      <c r="I107" s="40" t="s">
        <v>6651</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6709</v>
      </c>
      <c r="I108" s="40" t="s">
        <v>6651</v>
      </c>
      <c r="L108" s="40" t="str">
        <f t="shared" si="2"/>
        <v>USD,20210502,229110,229130,218380,218380,1,1,1</v>
      </c>
    </row>
    <row r="109" spans="1:12">
      <c r="A109" s="270">
        <v>232640</v>
      </c>
      <c r="B109" s="270">
        <v>232310</v>
      </c>
      <c r="C109" s="270">
        <v>232420</v>
      </c>
      <c r="D109" s="270">
        <v>229100</v>
      </c>
      <c r="E109">
        <v>3210</v>
      </c>
      <c r="F109" s="137">
        <v>1.4E-2</v>
      </c>
      <c r="G109" s="203">
        <v>44317</v>
      </c>
      <c r="H109" t="s">
        <v>6710</v>
      </c>
      <c r="I109" s="40" t="s">
        <v>6651</v>
      </c>
      <c r="L109" s="40" t="str">
        <f t="shared" si="2"/>
        <v>USD,20210501,232340,232420,229020,229100,1,1,1</v>
      </c>
    </row>
    <row r="110" spans="1:12">
      <c r="A110" s="270">
        <v>232770</v>
      </c>
      <c r="B110" s="270">
        <v>232540</v>
      </c>
      <c r="C110" s="270">
        <v>232420</v>
      </c>
      <c r="D110" s="270">
        <v>232310</v>
      </c>
      <c r="E110">
        <v>20</v>
      </c>
      <c r="F110" s="137">
        <v>1E-4</v>
      </c>
      <c r="G110" s="203">
        <v>44315</v>
      </c>
      <c r="H110" t="s">
        <v>6711</v>
      </c>
      <c r="I110" s="40" t="s">
        <v>6651</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6712</v>
      </c>
      <c r="I111" s="40" t="s">
        <v>6651</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6713</v>
      </c>
      <c r="I112" s="40" t="s">
        <v>6651</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6714</v>
      </c>
      <c r="I113" s="40" t="s">
        <v>6651</v>
      </c>
      <c r="L113" s="40" t="str">
        <f t="shared" si="2"/>
        <v>USD,20210426,233380,233390,232750,232760,1,1,1</v>
      </c>
    </row>
    <row r="114" spans="1:12">
      <c r="A114" s="270">
        <v>233750</v>
      </c>
      <c r="B114" s="270">
        <v>233280</v>
      </c>
      <c r="C114" s="270">
        <v>233390</v>
      </c>
      <c r="D114" s="270">
        <v>233390</v>
      </c>
      <c r="E114">
        <v>20</v>
      </c>
      <c r="F114" s="137">
        <v>1E-4</v>
      </c>
      <c r="G114" s="203">
        <v>44311</v>
      </c>
      <c r="H114" t="s">
        <v>6715</v>
      </c>
      <c r="I114" s="40" t="s">
        <v>6651</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6716</v>
      </c>
      <c r="I115" s="40" t="s">
        <v>6651</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6695</v>
      </c>
      <c r="I116" s="40" t="s">
        <v>6651</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6717</v>
      </c>
      <c r="I117" s="40" t="s">
        <v>6651</v>
      </c>
      <c r="L117" s="40" t="str">
        <f t="shared" si="2"/>
        <v>USD,20210421,233650,233750,233640,233690,1,1,1</v>
      </c>
    </row>
    <row r="118" spans="1:12">
      <c r="A118" s="270">
        <v>239900</v>
      </c>
      <c r="B118" s="270">
        <v>238750</v>
      </c>
      <c r="C118" s="270">
        <v>238280</v>
      </c>
      <c r="D118" s="270">
        <v>233740</v>
      </c>
      <c r="E118">
        <v>4430</v>
      </c>
      <c r="F118" s="137">
        <v>1.9E-2</v>
      </c>
      <c r="G118" s="203">
        <v>44306</v>
      </c>
      <c r="H118" t="s">
        <v>6718</v>
      </c>
      <c r="I118" s="40" t="s">
        <v>6651</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6719</v>
      </c>
      <c r="I119" s="40" t="s">
        <v>6651</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6720</v>
      </c>
      <c r="I120" s="40" t="s">
        <v>6651</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6721</v>
      </c>
      <c r="I121" s="40" t="s">
        <v>6651</v>
      </c>
      <c r="L121" s="40" t="str">
        <f t="shared" si="3"/>
        <v>USD,20210417,239930,240000,239860,239930,1,1,1</v>
      </c>
    </row>
    <row r="122" spans="1:12">
      <c r="A122" s="270">
        <v>243020</v>
      </c>
      <c r="B122" s="270">
        <v>240790</v>
      </c>
      <c r="C122" s="270">
        <v>241010</v>
      </c>
      <c r="D122" s="270">
        <v>239870</v>
      </c>
      <c r="E122">
        <v>2480</v>
      </c>
      <c r="F122" s="137">
        <v>1.03E-2</v>
      </c>
      <c r="G122" s="203">
        <v>44301</v>
      </c>
      <c r="H122" t="s">
        <v>6722</v>
      </c>
      <c r="I122" s="40" t="s">
        <v>6651</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6723</v>
      </c>
      <c r="I123" s="40" t="s">
        <v>6651</v>
      </c>
      <c r="L123" s="40" t="str">
        <f t="shared" si="3"/>
        <v>USD,20210414,240800,242390,240790,242350,1,1,1</v>
      </c>
    </row>
    <row r="124" spans="1:12">
      <c r="A124" s="270">
        <v>241950</v>
      </c>
      <c r="B124" s="270">
        <v>241860</v>
      </c>
      <c r="C124" s="270">
        <v>243060</v>
      </c>
      <c r="D124" s="270">
        <v>240900</v>
      </c>
      <c r="E124">
        <v>2060</v>
      </c>
      <c r="F124" s="137">
        <v>8.6E-3</v>
      </c>
      <c r="G124" s="203">
        <v>44299</v>
      </c>
      <c r="H124" t="s">
        <v>6724</v>
      </c>
      <c r="I124" s="40" t="s">
        <v>6651</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6725</v>
      </c>
      <c r="I125" s="40" t="s">
        <v>6651</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6726</v>
      </c>
      <c r="I126" s="40" t="s">
        <v>6651</v>
      </c>
      <c r="L126" s="40" t="str">
        <f t="shared" si="3"/>
        <v>USD,20210411,241950,243930,241860,242850,1,1,1</v>
      </c>
    </row>
    <row r="127" spans="1:12">
      <c r="A127" s="270">
        <v>247150</v>
      </c>
      <c r="B127" s="270">
        <v>244620</v>
      </c>
      <c r="C127" s="270">
        <v>243570</v>
      </c>
      <c r="D127" s="270">
        <v>241880</v>
      </c>
      <c r="E127">
        <v>2780</v>
      </c>
      <c r="F127" s="137">
        <v>1.15E-2</v>
      </c>
      <c r="G127" s="203">
        <v>44296</v>
      </c>
      <c r="H127" t="s">
        <v>6727</v>
      </c>
      <c r="I127" s="40" t="s">
        <v>6651</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6728</v>
      </c>
      <c r="I128" s="40" t="s">
        <v>6651</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6729</v>
      </c>
      <c r="I129" s="40" t="s">
        <v>6651</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6730</v>
      </c>
      <c r="I130" s="40" t="s">
        <v>6651</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6731</v>
      </c>
      <c r="I131" s="40" t="s">
        <v>6651</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6732</v>
      </c>
      <c r="I132" s="40" t="s">
        <v>6651</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6733</v>
      </c>
      <c r="I133" s="40" t="s">
        <v>6651</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6734</v>
      </c>
      <c r="I134" s="40" t="s">
        <v>6651</v>
      </c>
      <c r="L134" s="40" t="str">
        <f t="shared" si="3"/>
        <v>USD,20210401,252040,252100,251990,252100,1,1,1</v>
      </c>
    </row>
    <row r="135" spans="1:12">
      <c r="A135" s="270">
        <v>247510</v>
      </c>
      <c r="B135" s="270">
        <v>247470</v>
      </c>
      <c r="C135" s="270">
        <v>252550</v>
      </c>
      <c r="D135" s="270">
        <v>252040</v>
      </c>
      <c r="E135">
        <v>500</v>
      </c>
      <c r="F135" s="137">
        <v>2E-3</v>
      </c>
      <c r="G135" s="203">
        <v>44286</v>
      </c>
      <c r="H135" t="s">
        <v>6735</v>
      </c>
      <c r="I135" s="40" t="s">
        <v>6651</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6736</v>
      </c>
      <c r="I136" s="40" t="s">
        <v>6651</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6737</v>
      </c>
      <c r="I137" s="40" t="s">
        <v>6651</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6738</v>
      </c>
      <c r="I138" s="40" t="s">
        <v>6651</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6739</v>
      </c>
      <c r="I139" s="40" t="s">
        <v>6651</v>
      </c>
      <c r="L139" s="40" t="str">
        <f t="shared" si="3"/>
        <v>USD,20210318,240410,240430,239550,239630,1,1,1</v>
      </c>
    </row>
    <row r="140" spans="1:12">
      <c r="A140" s="270">
        <v>239200</v>
      </c>
      <c r="B140" s="270">
        <v>239100</v>
      </c>
      <c r="C140" s="270">
        <v>240950</v>
      </c>
      <c r="D140" s="270">
        <v>240400</v>
      </c>
      <c r="E140">
        <v>490</v>
      </c>
      <c r="F140" s="137">
        <v>2E-3</v>
      </c>
      <c r="G140" s="203">
        <v>44272</v>
      </c>
      <c r="H140" t="s">
        <v>6740</v>
      </c>
      <c r="I140" s="40" t="s">
        <v>6651</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6651</v>
      </c>
      <c r="L141" s="40" t="str">
        <f t="shared" si="3"/>
        <v>USD,20210316,239200,241380,239100,240890,1,1,1</v>
      </c>
    </row>
    <row r="142" spans="1:12">
      <c r="A142" s="270">
        <v>242400</v>
      </c>
      <c r="B142" s="270">
        <v>241770</v>
      </c>
      <c r="C142" s="270">
        <v>239210</v>
      </c>
      <c r="D142" s="270">
        <v>239170</v>
      </c>
      <c r="E142" t="s">
        <v>6650</v>
      </c>
      <c r="F142" t="s">
        <v>6650</v>
      </c>
      <c r="G142" s="203">
        <v>44270</v>
      </c>
      <c r="H142" t="s">
        <v>6368</v>
      </c>
      <c r="I142" s="40" t="s">
        <v>6651</v>
      </c>
      <c r="L142" s="40" t="str">
        <f t="shared" si="3"/>
        <v>USD,20210315,239200,239210,239100,239170,1,1,1</v>
      </c>
    </row>
    <row r="143" spans="1:12">
      <c r="A143" s="270">
        <v>242100</v>
      </c>
      <c r="B143" s="270">
        <v>241240</v>
      </c>
      <c r="C143" s="270">
        <v>241880</v>
      </c>
      <c r="D143" s="270">
        <v>239170</v>
      </c>
      <c r="E143">
        <v>2600</v>
      </c>
      <c r="F143" s="137">
        <v>1.09E-2</v>
      </c>
      <c r="G143" s="203">
        <v>44269</v>
      </c>
      <c r="H143" t="s">
        <v>6741</v>
      </c>
      <c r="I143" s="40" t="s">
        <v>6651</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6742</v>
      </c>
      <c r="I144" s="40" t="s">
        <v>6651</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6651</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6651</v>
      </c>
      <c r="L146" s="40" t="str">
        <f t="shared" si="3"/>
        <v>USD,20210309,243240,244280,241050,242070,1,1,1</v>
      </c>
    </row>
    <row r="147" spans="1:12">
      <c r="A147" s="270">
        <v>246580</v>
      </c>
      <c r="B147" s="270">
        <v>242700</v>
      </c>
      <c r="C147" s="270">
        <v>244610</v>
      </c>
      <c r="D147" s="270">
        <v>243210</v>
      </c>
      <c r="E147">
        <v>3310</v>
      </c>
      <c r="F147" s="137">
        <v>1.38E-2</v>
      </c>
      <c r="G147" s="203">
        <v>44263</v>
      </c>
      <c r="H147" t="s">
        <v>6743</v>
      </c>
      <c r="I147" s="40" t="s">
        <v>6651</v>
      </c>
      <c r="L147" s="40" t="str">
        <f t="shared" si="3"/>
        <v>USD,20210308,239960,244610,239850,243210,1,1,1</v>
      </c>
    </row>
    <row r="148" spans="1:12">
      <c r="A148" s="270">
        <v>246700</v>
      </c>
      <c r="B148" s="270">
        <v>246530</v>
      </c>
      <c r="C148" s="270">
        <v>242810</v>
      </c>
      <c r="D148" s="270">
        <v>239900</v>
      </c>
      <c r="E148">
        <v>2810</v>
      </c>
      <c r="F148" s="137">
        <v>1.17E-2</v>
      </c>
      <c r="G148" s="203">
        <v>44262</v>
      </c>
      <c r="H148" t="s">
        <v>6744</v>
      </c>
      <c r="I148" s="40" t="s">
        <v>6651</v>
      </c>
      <c r="L148" s="40" t="str">
        <f t="shared" si="3"/>
        <v>USD,20210307,242800,242810,239850,239900,1,1,1</v>
      </c>
    </row>
    <row r="149" spans="1:12">
      <c r="A149" s="270">
        <v>244330</v>
      </c>
      <c r="B149" s="270">
        <v>244330</v>
      </c>
      <c r="C149" s="270">
        <v>246770</v>
      </c>
      <c r="D149" s="270">
        <v>242710</v>
      </c>
      <c r="E149">
        <v>3900</v>
      </c>
      <c r="F149" s="137">
        <v>1.61E-2</v>
      </c>
      <c r="G149" s="203">
        <v>44261</v>
      </c>
      <c r="H149" t="s">
        <v>6745</v>
      </c>
      <c r="I149" s="40" t="s">
        <v>6651</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6746</v>
      </c>
      <c r="I150" s="40" t="s">
        <v>6651</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6747</v>
      </c>
      <c r="I151" s="40" t="s">
        <v>6651</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6748</v>
      </c>
      <c r="I152" s="40" t="s">
        <v>6651</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6749</v>
      </c>
      <c r="I153" s="40" t="s">
        <v>6651</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6750</v>
      </c>
      <c r="I154" s="40" t="s">
        <v>6651</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6751</v>
      </c>
      <c r="I155" s="40" t="s">
        <v>6651</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6752</v>
      </c>
      <c r="I156" s="40" t="s">
        <v>6651</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6753</v>
      </c>
      <c r="I157" s="40" t="s">
        <v>6651</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6754</v>
      </c>
      <c r="I158" s="40" t="s">
        <v>6651</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6755</v>
      </c>
      <c r="I159" s="40" t="s">
        <v>6651</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6756</v>
      </c>
      <c r="I160" s="40" t="s">
        <v>6651</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6757</v>
      </c>
      <c r="I161" s="40" t="s">
        <v>6651</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6758</v>
      </c>
      <c r="I162" s="40" t="s">
        <v>6651</v>
      </c>
      <c r="L162" s="40" t="str">
        <f t="shared" si="3"/>
        <v>USD,20210217,249780,251850,249740,251750,1,1,1</v>
      </c>
    </row>
    <row r="163" spans="1:12">
      <c r="A163" s="270">
        <v>249830</v>
      </c>
      <c r="B163" s="270">
        <v>249740</v>
      </c>
      <c r="C163" s="270">
        <v>249850</v>
      </c>
      <c r="D163" s="270">
        <v>249740</v>
      </c>
      <c r="E163" t="s">
        <v>6650</v>
      </c>
      <c r="F163" t="s">
        <v>6650</v>
      </c>
      <c r="G163" s="203">
        <v>44243</v>
      </c>
      <c r="H163" t="s">
        <v>6759</v>
      </c>
      <c r="I163" s="40" t="s">
        <v>6651</v>
      </c>
      <c r="L163" s="40" t="str">
        <f t="shared" si="3"/>
        <v>USD,20210216,249820,249850,249740,249740,1,1,1</v>
      </c>
    </row>
    <row r="164" spans="1:12">
      <c r="A164" s="270">
        <v>247040</v>
      </c>
      <c r="B164" s="270">
        <v>246940</v>
      </c>
      <c r="C164" s="270">
        <v>249850</v>
      </c>
      <c r="D164" s="270">
        <v>249740</v>
      </c>
      <c r="E164">
        <v>30</v>
      </c>
      <c r="F164" s="137">
        <v>1E-4</v>
      </c>
      <c r="G164" s="203">
        <v>44242</v>
      </c>
      <c r="H164" t="s">
        <v>6760</v>
      </c>
      <c r="I164" s="40" t="s">
        <v>6651</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6761</v>
      </c>
      <c r="I165" s="40" t="s">
        <v>6651</v>
      </c>
      <c r="L165" s="40" t="str">
        <f t="shared" si="3"/>
        <v>USD,20210214,249830,249850,249740,249770,1,1,1</v>
      </c>
    </row>
    <row r="166" spans="1:12">
      <c r="A166" s="270">
        <v>238970</v>
      </c>
      <c r="B166" s="270">
        <v>238940</v>
      </c>
      <c r="C166" s="270">
        <v>249850</v>
      </c>
      <c r="D166" s="270">
        <v>249810</v>
      </c>
      <c r="E166">
        <v>2850</v>
      </c>
      <c r="F166" s="137">
        <v>1.15E-2</v>
      </c>
      <c r="G166" s="203">
        <v>44240</v>
      </c>
      <c r="H166" t="s">
        <v>6762</v>
      </c>
      <c r="I166" s="40" t="s">
        <v>6651</v>
      </c>
      <c r="L166" s="40" t="str">
        <f t="shared" si="3"/>
        <v>USD,20210213,247040,249850,246940,249810,1,1,1</v>
      </c>
    </row>
    <row r="167" spans="1:12">
      <c r="A167" s="270">
        <v>237050</v>
      </c>
      <c r="B167" s="270">
        <v>236940</v>
      </c>
      <c r="C167" s="270">
        <v>247050</v>
      </c>
      <c r="D167" s="270">
        <v>246960</v>
      </c>
      <c r="E167">
        <v>5930</v>
      </c>
      <c r="F167" s="137">
        <v>2.46E-2</v>
      </c>
      <c r="G167" s="203">
        <v>44238</v>
      </c>
      <c r="H167" t="s">
        <v>6763</v>
      </c>
      <c r="I167" s="40" t="s">
        <v>6651</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6764</v>
      </c>
      <c r="I168" s="40" t="s">
        <v>6651</v>
      </c>
      <c r="L168" s="40" t="str">
        <f t="shared" si="3"/>
        <v>USD,20210209,238970,241050,238940,241030,1,1,1</v>
      </c>
    </row>
    <row r="169" spans="1:12">
      <c r="A169" s="270">
        <v>237520</v>
      </c>
      <c r="B169" s="270">
        <v>237440</v>
      </c>
      <c r="C169" s="270">
        <v>237050</v>
      </c>
      <c r="D169" s="270">
        <v>236940</v>
      </c>
      <c r="E169">
        <v>20</v>
      </c>
      <c r="F169" s="137">
        <v>1E-4</v>
      </c>
      <c r="G169" s="203">
        <v>44235</v>
      </c>
      <c r="H169" t="s">
        <v>6765</v>
      </c>
      <c r="I169" s="40" t="s">
        <v>6651</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6766</v>
      </c>
      <c r="I170" s="40" t="s">
        <v>6651</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6767</v>
      </c>
      <c r="I171" s="40" t="s">
        <v>6651</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6768</v>
      </c>
      <c r="I172" s="40" t="s">
        <v>6651</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6769</v>
      </c>
      <c r="I173" s="40" t="s">
        <v>6651</v>
      </c>
      <c r="L173" s="40" t="str">
        <f t="shared" si="3"/>
        <v>USD,20210203,238680,238750,237640,237660,1,1,1</v>
      </c>
    </row>
    <row r="174" spans="1:12">
      <c r="A174" s="270">
        <v>237180</v>
      </c>
      <c r="B174" s="270">
        <v>237140</v>
      </c>
      <c r="C174" s="270">
        <v>238750</v>
      </c>
      <c r="D174" s="270">
        <v>238710</v>
      </c>
      <c r="E174">
        <v>10</v>
      </c>
      <c r="F174" t="s">
        <v>6650</v>
      </c>
      <c r="G174" s="203">
        <v>44229</v>
      </c>
      <c r="H174" t="s">
        <v>6770</v>
      </c>
      <c r="I174" s="40" t="s">
        <v>6651</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6771</v>
      </c>
      <c r="I175" s="40" t="s">
        <v>6651</v>
      </c>
      <c r="L175" s="40" t="str">
        <f t="shared" si="3"/>
        <v>USD,20210201,239170,239170,238640,238720,1,1,1</v>
      </c>
    </row>
    <row r="176" spans="1:12">
      <c r="A176" s="270">
        <v>234070</v>
      </c>
      <c r="B176" s="270">
        <v>232040</v>
      </c>
      <c r="C176" s="270">
        <v>239250</v>
      </c>
      <c r="D176" s="270">
        <v>239210</v>
      </c>
      <c r="E176">
        <v>2040</v>
      </c>
      <c r="F176" s="137">
        <v>8.6E-3</v>
      </c>
      <c r="G176" s="203">
        <v>44227</v>
      </c>
      <c r="H176" t="s">
        <v>6772</v>
      </c>
      <c r="I176" s="40" t="s">
        <v>6651</v>
      </c>
      <c r="L176" s="40" t="str">
        <f t="shared" si="3"/>
        <v>USD,20210131,237180,239250,237140,239210,1,1,1</v>
      </c>
    </row>
    <row r="177" spans="1:12">
      <c r="A177" s="270">
        <v>229150</v>
      </c>
      <c r="B177" s="270">
        <v>229140</v>
      </c>
      <c r="C177" s="270">
        <v>237250</v>
      </c>
      <c r="D177" s="270">
        <v>237170</v>
      </c>
      <c r="E177">
        <v>5060</v>
      </c>
      <c r="F177" s="137">
        <v>2.18E-2</v>
      </c>
      <c r="G177" s="203">
        <v>44226</v>
      </c>
      <c r="H177" t="s">
        <v>6773</v>
      </c>
      <c r="I177" s="40" t="s">
        <v>6651</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6774</v>
      </c>
      <c r="I178" s="40" t="s">
        <v>6651</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6775</v>
      </c>
      <c r="I179" s="40" t="s">
        <v>6651</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6776</v>
      </c>
      <c r="I180" s="40" t="s">
        <v>6651</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6777</v>
      </c>
      <c r="I181" s="40" t="s">
        <v>6651</v>
      </c>
      <c r="L181" s="40" t="str">
        <f t="shared" si="3"/>
        <v>USD,20210125,224250,229750,224240,229660,1,1,1</v>
      </c>
    </row>
    <row r="182" spans="1:12">
      <c r="A182" s="270">
        <v>226510</v>
      </c>
      <c r="B182" s="270">
        <v>226440</v>
      </c>
      <c r="C182" s="270">
        <v>224350</v>
      </c>
      <c r="D182" s="270">
        <v>224340</v>
      </c>
      <c r="E182">
        <v>20</v>
      </c>
      <c r="F182" s="137">
        <v>1E-4</v>
      </c>
      <c r="G182" s="203">
        <v>44220</v>
      </c>
      <c r="H182" t="s">
        <v>6778</v>
      </c>
      <c r="I182" s="40" t="s">
        <v>6651</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6779</v>
      </c>
      <c r="I183" s="40" t="s">
        <v>6651</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6780</v>
      </c>
      <c r="I184" s="40" t="s">
        <v>6651</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6781</v>
      </c>
      <c r="I185" s="40" t="s">
        <v>6651</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6782</v>
      </c>
      <c r="I186" s="40" t="s">
        <v>6651</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6783</v>
      </c>
      <c r="I187" s="40" t="s">
        <v>6651</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6784</v>
      </c>
      <c r="I188" s="40" t="s">
        <v>6651</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6785</v>
      </c>
      <c r="I189" s="40" t="s">
        <v>6651</v>
      </c>
      <c r="L189" s="40" t="str">
        <f t="shared" si="4"/>
        <v>USD,20210114,242870,242950,239440,239530,1,1,1</v>
      </c>
    </row>
    <row r="190" spans="1:12">
      <c r="A190" s="270">
        <v>248450</v>
      </c>
      <c r="B190" s="270">
        <v>248440</v>
      </c>
      <c r="C190" s="270">
        <v>248550</v>
      </c>
      <c r="D190" s="270">
        <v>244980</v>
      </c>
      <c r="E190">
        <v>3460</v>
      </c>
      <c r="F190" s="137">
        <v>1.41E-2</v>
      </c>
      <c r="G190" s="203">
        <v>44209</v>
      </c>
      <c r="H190" t="s">
        <v>6786</v>
      </c>
      <c r="I190" s="40" t="s">
        <v>6651</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6787</v>
      </c>
      <c r="I191" s="40" t="s">
        <v>6651</v>
      </c>
      <c r="L191" s="40" t="str">
        <f t="shared" si="4"/>
        <v>USD,20210112,248540,248550,248440,248440,1,1,1</v>
      </c>
    </row>
    <row r="192" spans="1:12">
      <c r="A192" s="270">
        <v>255550</v>
      </c>
      <c r="B192" s="270">
        <v>248640</v>
      </c>
      <c r="C192" s="270">
        <v>249550</v>
      </c>
      <c r="D192" s="270">
        <v>248490</v>
      </c>
      <c r="E192">
        <v>30</v>
      </c>
      <c r="F192" s="137">
        <v>1E-4</v>
      </c>
      <c r="G192" s="203">
        <v>44207</v>
      </c>
      <c r="H192" t="s">
        <v>6788</v>
      </c>
      <c r="I192" s="40" t="s">
        <v>6651</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6789</v>
      </c>
      <c r="I193" s="40" t="s">
        <v>6651</v>
      </c>
      <c r="L193" s="40" t="str">
        <f t="shared" si="4"/>
        <v>USD,20210110,248690,248690,245840,248520,1,1,1</v>
      </c>
    </row>
    <row r="194" spans="1:12">
      <c r="A194" s="270">
        <v>259030</v>
      </c>
      <c r="B194" s="270">
        <v>258440</v>
      </c>
      <c r="C194" s="270">
        <v>255550</v>
      </c>
      <c r="D194" s="270">
        <v>248660</v>
      </c>
      <c r="E194">
        <v>6850</v>
      </c>
      <c r="F194" s="137">
        <v>2.75E-2</v>
      </c>
      <c r="G194" s="203">
        <v>44205</v>
      </c>
      <c r="H194" t="s">
        <v>6790</v>
      </c>
      <c r="I194" s="40" t="s">
        <v>6651</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6791</v>
      </c>
      <c r="I195" s="40" t="s">
        <v>6651</v>
      </c>
      <c r="L195" s="40" t="str">
        <f t="shared" si="4"/>
        <v>USD,20210107,257530,257550,255440,255510,1,1,1</v>
      </c>
    </row>
    <row r="196" spans="1:12">
      <c r="A196" s="270">
        <v>255650</v>
      </c>
      <c r="B196" s="270">
        <v>255640</v>
      </c>
      <c r="C196" s="270">
        <v>259050</v>
      </c>
      <c r="D196" s="270">
        <v>258540</v>
      </c>
      <c r="E196">
        <v>480</v>
      </c>
      <c r="F196" s="137">
        <v>1.9E-3</v>
      </c>
      <c r="G196" s="203">
        <v>44202</v>
      </c>
      <c r="H196" t="s">
        <v>6792</v>
      </c>
      <c r="I196" s="40" t="s">
        <v>6651</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6793</v>
      </c>
      <c r="I197" s="40" t="s">
        <v>6651</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6651</v>
      </c>
      <c r="L198" s="40" t="str">
        <f t="shared" si="4"/>
        <v>USD,20210104,255650,257750,255640,257640,1,1,1</v>
      </c>
    </row>
    <row r="199" spans="1:12">
      <c r="A199" s="270">
        <v>257020</v>
      </c>
      <c r="B199" s="270">
        <v>256940</v>
      </c>
      <c r="C199" s="270">
        <v>256250</v>
      </c>
      <c r="D199" s="270">
        <v>255670</v>
      </c>
      <c r="E199">
        <v>520</v>
      </c>
      <c r="F199" s="137">
        <v>2E-3</v>
      </c>
      <c r="G199" s="203">
        <v>44199</v>
      </c>
      <c r="H199" t="s">
        <v>6794</v>
      </c>
      <c r="I199" s="40" t="s">
        <v>6651</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6795</v>
      </c>
      <c r="I200" s="40" t="s">
        <v>6651</v>
      </c>
      <c r="L200" s="40" t="str">
        <f t="shared" si="4"/>
        <v>USD,20210102,256990,257050,256140,256190,1,1,1</v>
      </c>
    </row>
    <row r="201" spans="1:12">
      <c r="A201" s="270">
        <v>257440</v>
      </c>
      <c r="B201" s="270">
        <v>256940</v>
      </c>
      <c r="C201" s="270">
        <v>257050</v>
      </c>
      <c r="D201" s="270">
        <v>257010</v>
      </c>
      <c r="E201">
        <v>30</v>
      </c>
      <c r="F201" s="137">
        <v>1E-4</v>
      </c>
      <c r="G201" s="203">
        <v>44196</v>
      </c>
      <c r="H201" t="s">
        <v>6796</v>
      </c>
      <c r="I201" s="40" t="s">
        <v>6651</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6797</v>
      </c>
      <c r="I202" s="40" t="s">
        <v>6651</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6798</v>
      </c>
      <c r="I203" s="40" t="s">
        <v>6651</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6799</v>
      </c>
      <c r="I204" s="40" t="s">
        <v>6651</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6800</v>
      </c>
      <c r="I205" s="40" t="s">
        <v>6651</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6801</v>
      </c>
      <c r="I206" s="40" t="s">
        <v>6651</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6802</v>
      </c>
      <c r="I207" s="40" t="s">
        <v>6651</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6803</v>
      </c>
      <c r="I208" s="40" t="s">
        <v>6651</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6804</v>
      </c>
      <c r="I209" s="40" t="s">
        <v>6651</v>
      </c>
      <c r="L209" s="40" t="str">
        <f t="shared" si="4"/>
        <v>USD,20201222,254460,255250,254440,255160,1,1,1</v>
      </c>
    </row>
    <row r="210" spans="1:12">
      <c r="A210" s="270">
        <v>257440</v>
      </c>
      <c r="B210" s="270">
        <v>254940</v>
      </c>
      <c r="C210" s="270">
        <v>254550</v>
      </c>
      <c r="D210" s="270">
        <v>254470</v>
      </c>
      <c r="E210">
        <v>510</v>
      </c>
      <c r="F210" s="137">
        <v>2E-3</v>
      </c>
      <c r="G210" s="203">
        <v>44186</v>
      </c>
      <c r="H210" t="s">
        <v>6805</v>
      </c>
      <c r="I210" s="40" t="s">
        <v>6651</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6651</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6806</v>
      </c>
      <c r="I212" s="40" t="s">
        <v>6651</v>
      </c>
      <c r="L212" s="40" t="str">
        <f t="shared" si="4"/>
        <v>USD,20201219,257440,257550,254940,254990,1,1,1</v>
      </c>
    </row>
    <row r="213" spans="1:12">
      <c r="A213" s="270">
        <v>256960</v>
      </c>
      <c r="B213" s="270">
        <v>256440</v>
      </c>
      <c r="C213" s="270">
        <v>258050</v>
      </c>
      <c r="D213" s="270">
        <v>258020</v>
      </c>
      <c r="E213">
        <v>10</v>
      </c>
      <c r="F213" t="s">
        <v>6650</v>
      </c>
      <c r="G213" s="203">
        <v>44182</v>
      </c>
      <c r="H213" t="s">
        <v>6807</v>
      </c>
      <c r="I213" s="40" t="s">
        <v>6651</v>
      </c>
      <c r="L213" s="40" t="str">
        <f t="shared" si="4"/>
        <v>USD,20201217,258040,258050,257940,258020,1,1,1</v>
      </c>
    </row>
    <row r="214" spans="1:12">
      <c r="A214" s="270">
        <v>257980</v>
      </c>
      <c r="B214" s="270">
        <v>256940</v>
      </c>
      <c r="C214" s="270">
        <v>259550</v>
      </c>
      <c r="D214" s="270">
        <v>258030</v>
      </c>
      <c r="E214">
        <v>510</v>
      </c>
      <c r="F214" s="137">
        <v>2E-3</v>
      </c>
      <c r="G214" s="203">
        <v>44181</v>
      </c>
      <c r="H214" t="s">
        <v>6808</v>
      </c>
      <c r="I214" s="40" t="s">
        <v>6651</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6810</v>
      </c>
      <c r="I215" s="40" t="s">
        <v>6651</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6811</v>
      </c>
      <c r="I216" s="40" t="s">
        <v>6651</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6812</v>
      </c>
      <c r="I217" s="40" t="s">
        <v>6651</v>
      </c>
      <c r="L217" s="40" t="str">
        <f t="shared" si="4"/>
        <v>USD,20201213,259960,260050,257940,258040,1,1,1</v>
      </c>
    </row>
    <row r="218" spans="1:12">
      <c r="A218" s="270">
        <v>255970</v>
      </c>
      <c r="B218" s="270">
        <v>255940</v>
      </c>
      <c r="C218" s="270">
        <v>260750</v>
      </c>
      <c r="D218" s="270">
        <v>260050</v>
      </c>
      <c r="E218">
        <v>600</v>
      </c>
      <c r="F218" s="137">
        <v>2.3E-3</v>
      </c>
      <c r="G218" s="203">
        <v>44177</v>
      </c>
      <c r="H218" t="s">
        <v>6813</v>
      </c>
      <c r="I218" s="40" t="s">
        <v>6651</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6814</v>
      </c>
      <c r="I219" s="40" t="s">
        <v>6651</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6815</v>
      </c>
      <c r="I220" s="40" t="s">
        <v>6651</v>
      </c>
      <c r="L220" s="40" t="str">
        <f t="shared" si="4"/>
        <v>USD,20201209,255970,259850,255940,259770,1,1,1</v>
      </c>
    </row>
    <row r="221" spans="1:12">
      <c r="A221" s="270">
        <v>256950</v>
      </c>
      <c r="B221" s="270">
        <v>255940</v>
      </c>
      <c r="C221" s="270">
        <v>256050</v>
      </c>
      <c r="D221" s="270">
        <v>255940</v>
      </c>
      <c r="E221">
        <v>10</v>
      </c>
      <c r="F221" t="s">
        <v>6650</v>
      </c>
      <c r="G221" s="203">
        <v>44173</v>
      </c>
      <c r="H221" t="s">
        <v>6816</v>
      </c>
      <c r="I221" s="40" t="s">
        <v>6651</v>
      </c>
      <c r="L221" s="40" t="str">
        <f t="shared" si="4"/>
        <v>USD,20201208,255980,256050,255940,255940,1,1,1</v>
      </c>
    </row>
    <row r="222" spans="1:12">
      <c r="A222" s="270">
        <v>254710</v>
      </c>
      <c r="B222" s="270">
        <v>254670</v>
      </c>
      <c r="C222" s="270">
        <v>256050</v>
      </c>
      <c r="D222" s="270">
        <v>255950</v>
      </c>
      <c r="E222" t="s">
        <v>6650</v>
      </c>
      <c r="F222" t="s">
        <v>6650</v>
      </c>
      <c r="G222" s="203">
        <v>44172</v>
      </c>
      <c r="H222" t="s">
        <v>6817</v>
      </c>
      <c r="I222" s="40" t="s">
        <v>6651</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6818</v>
      </c>
      <c r="I223" s="40" t="s">
        <v>6651</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6819</v>
      </c>
      <c r="I224" s="40" t="s">
        <v>6651</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6820</v>
      </c>
      <c r="I225" s="40" t="s">
        <v>6651</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6821</v>
      </c>
      <c r="I226" s="40" t="s">
        <v>6651</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6822</v>
      </c>
      <c r="I227" s="40" t="s">
        <v>6651</v>
      </c>
      <c r="L227" s="40" t="str">
        <f t="shared" si="4"/>
        <v>USD,20201201,250070,256270,245160,256160,1,1,1</v>
      </c>
    </row>
    <row r="228" spans="1:12">
      <c r="A228" s="270">
        <v>247560</v>
      </c>
      <c r="B228" s="270">
        <v>247460</v>
      </c>
      <c r="C228" s="270">
        <v>253050</v>
      </c>
      <c r="D228" s="270">
        <v>250030</v>
      </c>
      <c r="E228">
        <v>4520</v>
      </c>
      <c r="F228" s="137">
        <v>1.84E-2</v>
      </c>
      <c r="G228" s="203">
        <v>44165</v>
      </c>
      <c r="H228" t="s">
        <v>6823</v>
      </c>
      <c r="I228" s="40" t="s">
        <v>6651</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6824</v>
      </c>
      <c r="I229" s="40" t="s">
        <v>6651</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6825</v>
      </c>
      <c r="I230" s="40" t="s">
        <v>6651</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6826</v>
      </c>
      <c r="I231" s="40" t="s">
        <v>6651</v>
      </c>
      <c r="L231" s="40" t="str">
        <f t="shared" si="4"/>
        <v>USD,20201126,248500,248570,247460,247570,1,1,1</v>
      </c>
    </row>
    <row r="232" spans="1:12">
      <c r="A232" s="270">
        <v>256030</v>
      </c>
      <c r="B232" s="270">
        <v>255450</v>
      </c>
      <c r="C232" s="270">
        <v>250570</v>
      </c>
      <c r="D232" s="270">
        <v>249500</v>
      </c>
      <c r="E232">
        <v>960</v>
      </c>
      <c r="F232" s="137">
        <v>3.8E-3</v>
      </c>
      <c r="G232" s="203">
        <v>44160</v>
      </c>
      <c r="H232" t="s">
        <v>6827</v>
      </c>
      <c r="I232" s="40" t="s">
        <v>6651</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6828</v>
      </c>
      <c r="I233" s="40" t="s">
        <v>6651</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6829</v>
      </c>
      <c r="I234" s="40" t="s">
        <v>6651</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6809</v>
      </c>
      <c r="I235" s="40" t="s">
        <v>6651</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6830</v>
      </c>
      <c r="I236" s="40" t="s">
        <v>6651</v>
      </c>
      <c r="L236" s="40" t="str">
        <f t="shared" si="4"/>
        <v>USD,20201121,256250,260560,256150,259550,1,1,1</v>
      </c>
    </row>
    <row r="237" spans="1:12">
      <c r="A237" s="270">
        <v>258960</v>
      </c>
      <c r="B237" s="270">
        <v>258950</v>
      </c>
      <c r="C237" s="270">
        <v>256260</v>
      </c>
      <c r="D237" s="270">
        <v>256200</v>
      </c>
      <c r="E237">
        <v>20</v>
      </c>
      <c r="F237" s="137">
        <v>1E-4</v>
      </c>
      <c r="G237" s="203">
        <v>44154</v>
      </c>
      <c r="H237" t="s">
        <v>6831</v>
      </c>
      <c r="I237" s="40" t="s">
        <v>6651</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6832</v>
      </c>
      <c r="I238" s="40" t="s">
        <v>6651</v>
      </c>
      <c r="L238" s="40" t="str">
        <f t="shared" si="4"/>
        <v>USD,20201118,259020,259020,256150,256220,1,1,1</v>
      </c>
    </row>
    <row r="239" spans="1:12">
      <c r="A239" s="270">
        <v>267480</v>
      </c>
      <c r="B239" s="270">
        <v>259950</v>
      </c>
      <c r="C239" s="270">
        <v>262060</v>
      </c>
      <c r="D239" s="270">
        <v>258970</v>
      </c>
      <c r="E239">
        <v>10</v>
      </c>
      <c r="F239" t="s">
        <v>6650</v>
      </c>
      <c r="G239" s="203">
        <v>44152</v>
      </c>
      <c r="H239" t="s">
        <v>6833</v>
      </c>
      <c r="I239" s="40" t="s">
        <v>6651</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6834</v>
      </c>
      <c r="I240" s="40" t="s">
        <v>6651</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6835</v>
      </c>
      <c r="I241" s="40" t="s">
        <v>6651</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6836</v>
      </c>
      <c r="I242" s="40" t="s">
        <v>6651</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6837</v>
      </c>
      <c r="I243" s="40" t="s">
        <v>6651</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6838</v>
      </c>
      <c r="I244" s="40" t="s">
        <v>6651</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6839</v>
      </c>
      <c r="I245" s="40" t="s">
        <v>6651</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6840</v>
      </c>
      <c r="I246" s="40" t="s">
        <v>6651</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6841</v>
      </c>
      <c r="I247" s="40" t="s">
        <v>6651</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6842</v>
      </c>
      <c r="I248" s="40" t="s">
        <v>6651</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6843</v>
      </c>
      <c r="I249" s="40" t="s">
        <v>6651</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6844</v>
      </c>
      <c r="I250" s="40" t="s">
        <v>6651</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6845</v>
      </c>
      <c r="I251" s="40" t="s">
        <v>6651</v>
      </c>
      <c r="L251" s="40" t="str">
        <f t="shared" si="5"/>
        <v>USD,20201102,272020,282460,271950,282420,1,1,1</v>
      </c>
    </row>
    <row r="252" spans="1:12">
      <c r="A252" s="270">
        <v>277460</v>
      </c>
      <c r="B252" s="270">
        <v>277450</v>
      </c>
      <c r="C252" s="270">
        <v>272060</v>
      </c>
      <c r="D252" s="270">
        <v>272060</v>
      </c>
      <c r="E252">
        <v>3340</v>
      </c>
      <c r="F252" s="137">
        <v>1.24E-2</v>
      </c>
      <c r="G252" s="203">
        <v>44136</v>
      </c>
      <c r="H252" t="s">
        <v>6846</v>
      </c>
      <c r="I252" s="40" t="s">
        <v>6651</v>
      </c>
      <c r="L252" s="40" t="str">
        <f t="shared" si="5"/>
        <v>USD,20201101,268670,272060,266950,272060,1,1,1</v>
      </c>
    </row>
    <row r="253" spans="1:12">
      <c r="A253" s="270">
        <v>282300</v>
      </c>
      <c r="B253" s="270">
        <v>278450</v>
      </c>
      <c r="C253" s="270">
        <v>277260</v>
      </c>
      <c r="D253" s="270">
        <v>268720</v>
      </c>
      <c r="E253">
        <v>8780</v>
      </c>
      <c r="F253" s="137">
        <v>3.27E-2</v>
      </c>
      <c r="G253" s="203">
        <v>44135</v>
      </c>
      <c r="H253" t="s">
        <v>6847</v>
      </c>
      <c r="I253" s="40" t="s">
        <v>6651</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6848</v>
      </c>
      <c r="I254" s="40" t="s">
        <v>6651</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6849</v>
      </c>
      <c r="I255" s="40" t="s">
        <v>6651</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6850</v>
      </c>
      <c r="I256" s="40" t="s">
        <v>6651</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6851</v>
      </c>
      <c r="I257" s="40" t="s">
        <v>6651</v>
      </c>
      <c r="L257" s="40" t="str">
        <f t="shared" si="5"/>
        <v>USD,20201026,289960,289990,279750,279860,1,1,1</v>
      </c>
    </row>
    <row r="258" spans="1:12">
      <c r="A258" s="270">
        <v>275470</v>
      </c>
      <c r="B258" s="270">
        <v>274450</v>
      </c>
      <c r="C258" s="270">
        <v>293860</v>
      </c>
      <c r="D258" s="270">
        <v>290000</v>
      </c>
      <c r="E258">
        <v>3750</v>
      </c>
      <c r="F258" s="137">
        <v>1.29E-2</v>
      </c>
      <c r="G258" s="203">
        <v>44128</v>
      </c>
      <c r="H258" t="s">
        <v>6852</v>
      </c>
      <c r="I258" s="40" t="s">
        <v>6651</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6853</v>
      </c>
      <c r="I259" s="40" t="s">
        <v>6651</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6854</v>
      </c>
      <c r="I260" s="40" t="s">
        <v>6651</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6855</v>
      </c>
      <c r="I261" s="40" t="s">
        <v>6651</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6856</v>
      </c>
      <c r="I262" s="40" t="s">
        <v>6651</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6857</v>
      </c>
      <c r="I263" s="40" t="s">
        <v>6651</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6858</v>
      </c>
      <c r="I264" s="40" t="s">
        <v>6651</v>
      </c>
      <c r="L264" s="40" t="str">
        <f t="shared" si="5"/>
        <v>USD,20201015,317000,317060,316950,317040,1,1,1</v>
      </c>
    </row>
    <row r="265" spans="1:12">
      <c r="A265" s="270">
        <v>311520</v>
      </c>
      <c r="B265" s="270">
        <v>301950</v>
      </c>
      <c r="C265" s="270">
        <v>315860</v>
      </c>
      <c r="D265" s="270">
        <v>315000</v>
      </c>
      <c r="E265">
        <v>1980</v>
      </c>
      <c r="F265" s="137">
        <v>6.3E-3</v>
      </c>
      <c r="G265" s="203">
        <v>44118</v>
      </c>
      <c r="H265" t="s">
        <v>6859</v>
      </c>
      <c r="I265" s="40" t="s">
        <v>6651</v>
      </c>
      <c r="L265" s="40" t="str">
        <f t="shared" si="5"/>
        <v>USD,20201014,312990,315860,312950,315000,1,1,1</v>
      </c>
    </row>
    <row r="266" spans="1:12">
      <c r="A266" s="270">
        <v>299480</v>
      </c>
      <c r="B266" s="270">
        <v>299450</v>
      </c>
      <c r="C266" s="270">
        <v>315060</v>
      </c>
      <c r="D266" s="270">
        <v>313020</v>
      </c>
      <c r="E266">
        <v>9060</v>
      </c>
      <c r="F266" s="137">
        <v>2.98E-2</v>
      </c>
      <c r="G266" s="203">
        <v>44117</v>
      </c>
      <c r="H266" t="s">
        <v>6860</v>
      </c>
      <c r="I266" s="40" t="s">
        <v>6651</v>
      </c>
      <c r="L266" s="40" t="str">
        <f t="shared" si="5"/>
        <v>USD,20201013,304040,315060,303950,313020,1,1,1</v>
      </c>
    </row>
    <row r="267" spans="1:12">
      <c r="A267" s="270">
        <v>291970</v>
      </c>
      <c r="B267" s="270">
        <v>291950</v>
      </c>
      <c r="C267" s="270">
        <v>311560</v>
      </c>
      <c r="D267" s="270">
        <v>303960</v>
      </c>
      <c r="E267">
        <v>7490</v>
      </c>
      <c r="F267" s="137">
        <v>2.46E-2</v>
      </c>
      <c r="G267" s="203">
        <v>44116</v>
      </c>
      <c r="H267" t="s">
        <v>6861</v>
      </c>
      <c r="I267" s="40" t="s">
        <v>6651</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6862</v>
      </c>
      <c r="I268" s="40" t="s">
        <v>6651</v>
      </c>
      <c r="L268" s="40" t="str">
        <f t="shared" si="5"/>
        <v>USD,20201011,299480,311560,299450,311450,1,1,1</v>
      </c>
    </row>
    <row r="269" spans="1:12">
      <c r="A269" s="270">
        <v>281970</v>
      </c>
      <c r="B269" s="270">
        <v>281950</v>
      </c>
      <c r="C269" s="270">
        <v>299560</v>
      </c>
      <c r="D269" s="270">
        <v>299560</v>
      </c>
      <c r="E269">
        <v>7540</v>
      </c>
      <c r="F269" s="137">
        <v>2.58E-2</v>
      </c>
      <c r="G269" s="203">
        <v>44114</v>
      </c>
      <c r="H269" t="s">
        <v>6863</v>
      </c>
      <c r="I269" s="40" t="s">
        <v>6651</v>
      </c>
      <c r="L269" s="40" t="str">
        <f t="shared" si="5"/>
        <v>USD,20201010,291970,299560,291950,299560,1,1,1</v>
      </c>
    </row>
    <row r="270" spans="1:12">
      <c r="A270" s="270">
        <v>269960</v>
      </c>
      <c r="B270" s="270">
        <v>269450</v>
      </c>
      <c r="C270" s="270">
        <v>292060</v>
      </c>
      <c r="D270" s="270">
        <v>292020</v>
      </c>
      <c r="E270">
        <v>20</v>
      </c>
      <c r="F270" s="137">
        <v>1E-4</v>
      </c>
      <c r="G270" s="203">
        <v>44111</v>
      </c>
      <c r="H270" t="s">
        <v>6864</v>
      </c>
      <c r="I270" s="40" t="s">
        <v>6651</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6865</v>
      </c>
      <c r="I271" s="40" t="s">
        <v>6651</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6866</v>
      </c>
      <c r="I272" s="40" t="s">
        <v>6651</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6867</v>
      </c>
      <c r="I273" s="40" t="s">
        <v>6651</v>
      </c>
      <c r="L273" s="40" t="str">
        <f t="shared" si="5"/>
        <v>USD,20201004,284550,284560,269950,269950,1,1,1</v>
      </c>
    </row>
    <row r="274" spans="1:12">
      <c r="A274" s="270">
        <v>285040</v>
      </c>
      <c r="B274" s="270">
        <v>284950</v>
      </c>
      <c r="C274" s="270">
        <v>289060</v>
      </c>
      <c r="D274" s="270">
        <v>284490</v>
      </c>
      <c r="E274">
        <v>4550</v>
      </c>
      <c r="F274" s="137">
        <v>1.6E-2</v>
      </c>
      <c r="G274" s="203">
        <v>44107</v>
      </c>
      <c r="H274" t="s">
        <v>6868</v>
      </c>
      <c r="I274" s="40" t="s">
        <v>6651</v>
      </c>
      <c r="L274" s="40" t="str">
        <f t="shared" si="5"/>
        <v>USD,20201003,289030,289060,284450,284490,1,1,1</v>
      </c>
    </row>
    <row r="275" spans="1:12">
      <c r="A275" s="270">
        <v>289450</v>
      </c>
      <c r="B275" s="270">
        <v>284950</v>
      </c>
      <c r="C275" s="270">
        <v>289060</v>
      </c>
      <c r="D275" s="270">
        <v>289040</v>
      </c>
      <c r="E275">
        <v>1520</v>
      </c>
      <c r="F275" s="137">
        <v>5.3E-3</v>
      </c>
      <c r="G275" s="203">
        <v>44105</v>
      </c>
      <c r="H275" t="s">
        <v>6870</v>
      </c>
      <c r="I275" s="40" t="s">
        <v>6651</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6871</v>
      </c>
      <c r="I276" s="40" t="s">
        <v>6651</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6872</v>
      </c>
      <c r="I277" s="40" t="s">
        <v>6651</v>
      </c>
      <c r="L277" s="40" t="str">
        <f t="shared" si="5"/>
        <v>USD,20200929,289450,289560,284950,285020,1,1,1</v>
      </c>
    </row>
    <row r="278" spans="1:12">
      <c r="A278" s="270">
        <v>278030</v>
      </c>
      <c r="B278" s="270">
        <v>277950</v>
      </c>
      <c r="C278" s="270">
        <v>289560</v>
      </c>
      <c r="D278" s="270">
        <v>289470</v>
      </c>
      <c r="E278">
        <v>2470</v>
      </c>
      <c r="F278" s="137">
        <v>8.6E-3</v>
      </c>
      <c r="G278" s="203">
        <v>44102</v>
      </c>
      <c r="H278" t="s">
        <v>6873</v>
      </c>
      <c r="I278" s="40" t="s">
        <v>6651</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6874</v>
      </c>
      <c r="I279" s="40" t="s">
        <v>6651</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6875</v>
      </c>
      <c r="I280" s="40" t="s">
        <v>6651</v>
      </c>
      <c r="L280" s="40" t="str">
        <f t="shared" si="5"/>
        <v>USD,20200926,278030,287560,277950,285060,1,1,1</v>
      </c>
    </row>
    <row r="281" spans="1:12">
      <c r="A281" s="270">
        <v>269480</v>
      </c>
      <c r="B281" s="270">
        <v>269450</v>
      </c>
      <c r="C281" s="270">
        <v>278060</v>
      </c>
      <c r="D281" s="270">
        <v>277970</v>
      </c>
      <c r="E281">
        <v>10</v>
      </c>
      <c r="F281" t="s">
        <v>6650</v>
      </c>
      <c r="G281" s="203">
        <v>44098</v>
      </c>
      <c r="H281" t="s">
        <v>6876</v>
      </c>
      <c r="I281" s="40" t="s">
        <v>6651</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6877</v>
      </c>
      <c r="I282" s="40" t="s">
        <v>6651</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6869</v>
      </c>
      <c r="I283" s="40" t="s">
        <v>6651</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6878</v>
      </c>
      <c r="I284" s="40" t="s">
        <v>6651</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6879</v>
      </c>
      <c r="I285" s="40" t="s">
        <v>6651</v>
      </c>
      <c r="L285" s="40" t="str">
        <f t="shared" si="5"/>
        <v>USD,20200920,264500,273060,264450,272980,1,1,1</v>
      </c>
    </row>
    <row r="286" spans="1:12">
      <c r="A286" s="270">
        <v>265980</v>
      </c>
      <c r="B286" s="270">
        <v>265950</v>
      </c>
      <c r="C286" s="270">
        <v>268060</v>
      </c>
      <c r="D286" s="270">
        <v>264480</v>
      </c>
      <c r="E286">
        <v>3490</v>
      </c>
      <c r="F286" s="137">
        <v>1.32E-2</v>
      </c>
      <c r="G286" s="203">
        <v>44093</v>
      </c>
      <c r="H286" t="s">
        <v>6880</v>
      </c>
      <c r="I286" s="40" t="s">
        <v>6651</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6881</v>
      </c>
      <c r="I287" s="40" t="s">
        <v>6651</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6882</v>
      </c>
      <c r="I288" s="40" t="s">
        <v>6651</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6883</v>
      </c>
      <c r="I289" s="40" t="s">
        <v>6651</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6651</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6884</v>
      </c>
      <c r="I291" s="40" t="s">
        <v>6651</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6885</v>
      </c>
      <c r="I292" s="40" t="s">
        <v>6651</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6886</v>
      </c>
      <c r="I293" s="40" t="s">
        <v>6651</v>
      </c>
      <c r="L293" s="40" t="str">
        <f t="shared" si="5"/>
        <v>USD,20200910,227910,228020,227910,228000,1,1,1</v>
      </c>
    </row>
    <row r="294" spans="1:12">
      <c r="A294" s="270">
        <v>225950</v>
      </c>
      <c r="B294" s="270">
        <v>225910</v>
      </c>
      <c r="C294" s="270">
        <v>227520</v>
      </c>
      <c r="D294" s="270">
        <v>227490</v>
      </c>
      <c r="E294">
        <v>30</v>
      </c>
      <c r="F294" s="137">
        <v>1E-4</v>
      </c>
      <c r="G294" s="203">
        <v>44083</v>
      </c>
      <c r="H294" t="s">
        <v>6887</v>
      </c>
      <c r="I294" s="40" t="s">
        <v>6651</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6888</v>
      </c>
      <c r="I295" s="40" t="s">
        <v>6651</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6889</v>
      </c>
      <c r="I296" s="40" t="s">
        <v>6651</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6890</v>
      </c>
      <c r="I297" s="40" t="s">
        <v>6651</v>
      </c>
      <c r="L297" s="40" t="str">
        <f t="shared" si="5"/>
        <v>USD,20200906,224450,226020,224410,226020,1,1,1</v>
      </c>
    </row>
    <row r="298" spans="1:12">
      <c r="A298" s="270">
        <v>229020</v>
      </c>
      <c r="B298" s="270">
        <v>226910</v>
      </c>
      <c r="C298" s="270">
        <v>224520</v>
      </c>
      <c r="D298" s="270">
        <v>224520</v>
      </c>
      <c r="E298" t="s">
        <v>6650</v>
      </c>
      <c r="F298" t="s">
        <v>6650</v>
      </c>
      <c r="G298" s="203">
        <v>44079</v>
      </c>
      <c r="H298" t="s">
        <v>6891</v>
      </c>
      <c r="I298" s="40" t="s">
        <v>6651</v>
      </c>
      <c r="L298" s="40" t="str">
        <f t="shared" si="5"/>
        <v>USD,20200905,224450,224520,224410,224520,1,1,1</v>
      </c>
    </row>
    <row r="299" spans="1:12">
      <c r="A299" s="270">
        <v>231430</v>
      </c>
      <c r="B299" s="270">
        <v>228910</v>
      </c>
      <c r="C299" s="270">
        <v>225020</v>
      </c>
      <c r="D299" s="270">
        <v>224520</v>
      </c>
      <c r="E299">
        <v>2440</v>
      </c>
      <c r="F299" s="137">
        <v>1.09E-2</v>
      </c>
      <c r="G299" s="203">
        <v>44077</v>
      </c>
      <c r="H299" t="s">
        <v>6892</v>
      </c>
      <c r="I299" s="40" t="s">
        <v>6651</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6893</v>
      </c>
      <c r="I300" s="40" t="s">
        <v>6651</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6894</v>
      </c>
      <c r="I301" s="40" t="s">
        <v>6651</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6895</v>
      </c>
      <c r="I302" s="40" t="s">
        <v>6651</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6896</v>
      </c>
      <c r="I303" s="40" t="s">
        <v>6651</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6897</v>
      </c>
      <c r="I304" s="40" t="s">
        <v>6651</v>
      </c>
      <c r="L304" s="40" t="str">
        <f t="shared" si="5"/>
        <v>USD,20200827,231020,231020,230910,231020,1,1,1</v>
      </c>
    </row>
    <row r="305" spans="1:12">
      <c r="A305" s="270">
        <v>225020</v>
      </c>
      <c r="B305" s="270">
        <v>224710</v>
      </c>
      <c r="C305" s="270">
        <v>230020</v>
      </c>
      <c r="D305" s="270">
        <v>229960</v>
      </c>
      <c r="E305">
        <v>5170</v>
      </c>
      <c r="F305" s="137">
        <v>2.3E-2</v>
      </c>
      <c r="G305" s="203">
        <v>44069</v>
      </c>
      <c r="H305" t="s">
        <v>6898</v>
      </c>
      <c r="I305" s="40" t="s">
        <v>6651</v>
      </c>
      <c r="L305" s="40" t="str">
        <f t="shared" si="5"/>
        <v>USD,20200826,224710,230020,224710,229960,1,1,1</v>
      </c>
    </row>
    <row r="306" spans="1:12">
      <c r="A306" s="270">
        <v>224940</v>
      </c>
      <c r="B306" s="270">
        <v>224910</v>
      </c>
      <c r="C306" s="270">
        <v>224820</v>
      </c>
      <c r="D306" s="270">
        <v>224790</v>
      </c>
      <c r="E306">
        <v>30</v>
      </c>
      <c r="F306" s="137">
        <v>1E-4</v>
      </c>
      <c r="G306" s="203">
        <v>44068</v>
      </c>
      <c r="H306" t="s">
        <v>6899</v>
      </c>
      <c r="I306" s="40" t="s">
        <v>6651</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6900</v>
      </c>
      <c r="I307" s="40" t="s">
        <v>6651</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6901</v>
      </c>
      <c r="I308" s="40" t="s">
        <v>6651</v>
      </c>
      <c r="L308" s="40" t="str">
        <f t="shared" si="5"/>
        <v>USD,20200823,224940,225020,224910,224970,1,1,1</v>
      </c>
    </row>
    <row r="309" spans="1:12">
      <c r="A309" s="270">
        <v>224960</v>
      </c>
      <c r="B309" s="270">
        <v>223910</v>
      </c>
      <c r="C309" s="270">
        <v>225020</v>
      </c>
      <c r="D309" s="270">
        <v>225020</v>
      </c>
      <c r="E309" t="s">
        <v>6650</v>
      </c>
      <c r="F309" t="s">
        <v>6650</v>
      </c>
      <c r="G309" s="203">
        <v>44065</v>
      </c>
      <c r="H309" t="s">
        <v>6902</v>
      </c>
      <c r="I309" s="40" t="s">
        <v>6651</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6903</v>
      </c>
      <c r="I310" s="40" t="s">
        <v>6651</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6904</v>
      </c>
      <c r="I311" s="40" t="s">
        <v>6651</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6905</v>
      </c>
      <c r="I312" s="40" t="s">
        <v>6651</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6906</v>
      </c>
      <c r="I313" s="40" t="s">
        <v>6651</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6907</v>
      </c>
      <c r="I314" s="40" t="s">
        <v>6651</v>
      </c>
      <c r="L314" s="40" t="str">
        <f t="shared" si="6"/>
        <v>USD,20200816,218970,219020,218910,219020,1,1,1</v>
      </c>
    </row>
    <row r="315" spans="1:12">
      <c r="A315" s="270">
        <v>216800</v>
      </c>
      <c r="B315" s="270">
        <v>216710</v>
      </c>
      <c r="C315" s="270">
        <v>220520</v>
      </c>
      <c r="D315" s="270">
        <v>220520</v>
      </c>
      <c r="E315">
        <v>20</v>
      </c>
      <c r="F315" s="137">
        <v>1E-4</v>
      </c>
      <c r="G315" s="203">
        <v>44058</v>
      </c>
      <c r="H315" t="s">
        <v>6908</v>
      </c>
      <c r="I315" s="40" t="s">
        <v>6651</v>
      </c>
      <c r="L315" s="40" t="str">
        <f t="shared" si="6"/>
        <v>USD,20200815,220520,220520,220410,220520,1,1,1</v>
      </c>
    </row>
    <row r="316" spans="1:12">
      <c r="A316" s="270">
        <v>209930</v>
      </c>
      <c r="B316" s="270">
        <v>209910</v>
      </c>
      <c r="C316" s="270">
        <v>220520</v>
      </c>
      <c r="D316" s="270">
        <v>220500</v>
      </c>
      <c r="E316">
        <v>2480</v>
      </c>
      <c r="F316" s="137">
        <v>1.14E-2</v>
      </c>
      <c r="G316" s="203">
        <v>44056</v>
      </c>
      <c r="H316" t="s">
        <v>6909</v>
      </c>
      <c r="I316" s="40" t="s">
        <v>6651</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6910</v>
      </c>
      <c r="I317" s="40" t="s">
        <v>6651</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6911</v>
      </c>
      <c r="I318" s="40" t="s">
        <v>6651</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6912</v>
      </c>
      <c r="I319" s="40" t="s">
        <v>6651</v>
      </c>
      <c r="L319" s="40" t="str">
        <f t="shared" si="6"/>
        <v>USD,20200810,217960,218020,207910,209910,1,1,1</v>
      </c>
    </row>
    <row r="320" spans="1:12">
      <c r="A320" s="270">
        <v>223020</v>
      </c>
      <c r="B320" s="270">
        <v>222910</v>
      </c>
      <c r="C320" s="270">
        <v>230020</v>
      </c>
      <c r="D320" s="270">
        <v>218020</v>
      </c>
      <c r="E320">
        <v>12000</v>
      </c>
      <c r="F320" s="137">
        <v>5.5E-2</v>
      </c>
      <c r="G320" s="203">
        <v>44052</v>
      </c>
      <c r="H320" t="s">
        <v>6913</v>
      </c>
      <c r="I320" s="40" t="s">
        <v>6651</v>
      </c>
      <c r="L320" s="40" t="str">
        <f t="shared" si="6"/>
        <v>USD,20200809,229980,230020,217910,218020,1,1,1</v>
      </c>
    </row>
    <row r="321" spans="1:12">
      <c r="A321" s="270">
        <v>219020</v>
      </c>
      <c r="B321" s="270">
        <v>218910</v>
      </c>
      <c r="C321" s="270">
        <v>230020</v>
      </c>
      <c r="D321" s="270">
        <v>230020</v>
      </c>
      <c r="E321">
        <v>3000</v>
      </c>
      <c r="F321" s="137">
        <v>1.32E-2</v>
      </c>
      <c r="G321" s="203">
        <v>44049</v>
      </c>
      <c r="H321" t="s">
        <v>6914</v>
      </c>
      <c r="I321" s="40" t="s">
        <v>6651</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6651</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6915</v>
      </c>
      <c r="I323" s="40" t="s">
        <v>6651</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6916</v>
      </c>
      <c r="I324" s="40" t="s">
        <v>6651</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6917</v>
      </c>
      <c r="I325" s="40" t="s">
        <v>6651</v>
      </c>
      <c r="L325" s="40" t="str">
        <f t="shared" si="6"/>
        <v>USD,20200802,212940,217020,212910,217020,1,1,1</v>
      </c>
    </row>
    <row r="326" spans="1:12">
      <c r="A326" s="270">
        <v>204930</v>
      </c>
      <c r="B326" s="270">
        <v>204910</v>
      </c>
      <c r="C326" s="270">
        <v>213020</v>
      </c>
      <c r="D326" s="270">
        <v>213020</v>
      </c>
      <c r="E326">
        <v>5000</v>
      </c>
      <c r="F326" s="137">
        <v>2.4E-2</v>
      </c>
      <c r="G326" s="203">
        <v>44044</v>
      </c>
      <c r="H326" t="s">
        <v>6918</v>
      </c>
      <c r="I326" s="40" t="s">
        <v>6651</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6919</v>
      </c>
      <c r="I327" s="40" t="s">
        <v>6651</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6920</v>
      </c>
      <c r="I328" s="40" t="s">
        <v>6651</v>
      </c>
      <c r="L328" s="40" t="str">
        <f t="shared" si="6"/>
        <v>USD,20200729,204930,205020,204910,204990,1,1,1</v>
      </c>
    </row>
    <row r="329" spans="1:12">
      <c r="A329" s="270">
        <v>202940</v>
      </c>
      <c r="B329" s="270">
        <v>202910</v>
      </c>
      <c r="C329" s="270">
        <v>205020</v>
      </c>
      <c r="D329" s="270">
        <v>204920</v>
      </c>
      <c r="E329">
        <v>10</v>
      </c>
      <c r="F329" t="s">
        <v>6650</v>
      </c>
      <c r="G329" s="203">
        <v>44040</v>
      </c>
      <c r="H329" t="s">
        <v>6921</v>
      </c>
      <c r="I329" s="40" t="s">
        <v>6651</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6922</v>
      </c>
      <c r="I330" s="40" t="s">
        <v>6651</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6923</v>
      </c>
      <c r="I331" s="40" t="s">
        <v>6651</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6924</v>
      </c>
      <c r="I332" s="40" t="s">
        <v>6651</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6925</v>
      </c>
      <c r="I333" s="40" t="s">
        <v>6651</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6926</v>
      </c>
      <c r="I334" s="40" t="s">
        <v>6651</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6927</v>
      </c>
      <c r="I335" s="40" t="s">
        <v>6651</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7066</v>
      </c>
      <c r="I336" s="40" t="s">
        <v>6651</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7067</v>
      </c>
      <c r="I337" s="40" t="s">
        <v>6651</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7068</v>
      </c>
      <c r="I338" s="40" t="s">
        <v>6651</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Q167" sqref="Q16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6630</v>
      </c>
      <c r="D1" s="359" t="s">
        <v>6631</v>
      </c>
      <c r="E1" s="383" t="s">
        <v>6632</v>
      </c>
      <c r="F1" s="359" t="s">
        <v>6618</v>
      </c>
      <c r="G1" s="359" t="s">
        <v>6976</v>
      </c>
      <c r="H1" s="359" t="s">
        <v>6633</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6586</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6500</v>
      </c>
      <c r="H9" s="361">
        <f t="shared" si="2"/>
        <v>252.20432310225934</v>
      </c>
      <c r="I9" s="361">
        <v>19552</v>
      </c>
      <c r="J9" s="361">
        <f t="shared" si="3"/>
        <v>758.63060389159602</v>
      </c>
      <c r="K9" s="94">
        <f t="shared" si="5"/>
        <v>213.98049353333334</v>
      </c>
      <c r="L9" s="372">
        <f>B9*E9/$O$2</f>
        <v>203.79094622222223</v>
      </c>
      <c r="M9" s="94">
        <f t="shared" si="7"/>
        <v>662.32057522222226</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6588</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6428</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6430</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6429</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6444</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v>227.2445453986885</v>
      </c>
      <c r="G23" s="257"/>
      <c r="H23" s="371">
        <f>SUM(H2:H22)</f>
        <v>585.20025708331161</v>
      </c>
      <c r="I23" s="370" t="s">
        <v>4433</v>
      </c>
      <c r="J23" s="371">
        <f>SUM(J2:J22)</f>
        <v>3686.1963468567778</v>
      </c>
      <c r="M23" t="s">
        <v>25</v>
      </c>
    </row>
    <row r="24" spans="1:34" ht="21">
      <c r="A24" s="257"/>
      <c r="B24" s="257"/>
      <c r="C24" s="257"/>
      <c r="D24" s="374" t="s">
        <v>7090</v>
      </c>
      <c r="E24" s="374"/>
      <c r="F24" s="374" t="s">
        <v>6617</v>
      </c>
      <c r="G24" s="257"/>
      <c r="H24" s="370" t="s">
        <v>6949</v>
      </c>
      <c r="I24" s="370" t="s">
        <v>5015</v>
      </c>
      <c r="J24" s="371">
        <v>1560</v>
      </c>
      <c r="AD24" t="s">
        <v>25</v>
      </c>
    </row>
    <row r="25" spans="1:34" ht="21">
      <c r="A25" s="257"/>
      <c r="B25" s="257"/>
      <c r="C25" s="257"/>
      <c r="D25" s="257"/>
      <c r="E25" s="257"/>
      <c r="F25" s="257"/>
      <c r="G25" s="257"/>
      <c r="H25" s="257"/>
      <c r="I25" s="370" t="s">
        <v>5016</v>
      </c>
      <c r="J25" s="370">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5">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7" t="s">
        <v>6642</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6619</v>
      </c>
      <c r="P157" s="18">
        <v>400000</v>
      </c>
      <c r="Q157" s="97">
        <v>0</v>
      </c>
      <c r="R157" s="97">
        <f t="shared" si="28"/>
        <v>101</v>
      </c>
      <c r="S157" s="97">
        <f t="shared" si="29"/>
        <v>40400000</v>
      </c>
      <c r="T157" s="97"/>
    </row>
    <row r="158" spans="1:25">
      <c r="A158" s="94"/>
      <c r="B158" s="94"/>
      <c r="E158" s="94"/>
      <c r="F158" s="94"/>
      <c r="G158" s="94"/>
      <c r="O158" s="97" t="s">
        <v>6619</v>
      </c>
      <c r="P158" s="18">
        <v>-400000</v>
      </c>
      <c r="Q158" s="97">
        <v>11</v>
      </c>
      <c r="R158" s="97">
        <f t="shared" si="28"/>
        <v>101</v>
      </c>
      <c r="S158" s="97">
        <f t="shared" si="29"/>
        <v>-40400000</v>
      </c>
      <c r="T158" s="97"/>
      <c r="Y158" t="s">
        <v>25</v>
      </c>
    </row>
    <row r="159" spans="1:25">
      <c r="A159" s="94"/>
      <c r="B159" s="94"/>
      <c r="E159" s="94"/>
      <c r="F159" s="94"/>
      <c r="G159" s="94"/>
      <c r="O159" s="97" t="s">
        <v>6634</v>
      </c>
      <c r="P159" s="18">
        <v>600000</v>
      </c>
      <c r="Q159" s="97">
        <v>5</v>
      </c>
      <c r="R159" s="97">
        <f t="shared" ref="R159:R163" si="30">Q159+R160</f>
        <v>90</v>
      </c>
      <c r="S159" s="97">
        <f t="shared" ref="S159:S163" si="31">P159*R159</f>
        <v>54000000</v>
      </c>
      <c r="T159" s="97"/>
    </row>
    <row r="160" spans="1:25">
      <c r="A160" s="94"/>
      <c r="B160" s="94"/>
      <c r="E160" s="94"/>
      <c r="O160" s="97" t="s">
        <v>6641</v>
      </c>
      <c r="P160" s="18">
        <v>-600000</v>
      </c>
      <c r="Q160" s="97">
        <v>30</v>
      </c>
      <c r="R160" s="97">
        <f t="shared" si="30"/>
        <v>85</v>
      </c>
      <c r="S160" s="97">
        <f t="shared" si="31"/>
        <v>-51000000</v>
      </c>
      <c r="T160" s="97"/>
    </row>
    <row r="161" spans="1:25">
      <c r="A161">
        <v>0</v>
      </c>
      <c r="B161" s="94">
        <v>1</v>
      </c>
      <c r="C161" s="94">
        <v>3476</v>
      </c>
      <c r="E161" s="94">
        <v>2.845E-2</v>
      </c>
      <c r="O161" s="97" t="s">
        <v>6965</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6968</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6979</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6985</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7074</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7091</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6950</v>
      </c>
      <c r="D179" s="176" t="s">
        <v>6949</v>
      </c>
      <c r="E179" s="434" t="s">
        <v>6951</v>
      </c>
      <c r="F179" s="176" t="s">
        <v>6952</v>
      </c>
      <c r="G179" s="176" t="s">
        <v>6447</v>
      </c>
      <c r="H179" s="176" t="s">
        <v>6485</v>
      </c>
      <c r="I179" s="176" t="s">
        <v>4245</v>
      </c>
      <c r="J179" s="176" t="s">
        <v>4913</v>
      </c>
      <c r="K179" s="176" t="s">
        <v>6948</v>
      </c>
      <c r="L179" s="176" t="s">
        <v>4913</v>
      </c>
      <c r="M179" s="422" t="s">
        <v>5267</v>
      </c>
      <c r="O179" t="s">
        <v>25</v>
      </c>
      <c r="R179" t="s">
        <v>25</v>
      </c>
    </row>
    <row r="180" spans="1:21" ht="15.75">
      <c r="A180" s="425" t="s">
        <v>6480</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6482</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6481</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6483</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6947</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6484</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6950</v>
      </c>
      <c r="D200" s="176" t="s">
        <v>6949</v>
      </c>
      <c r="E200" s="434" t="s">
        <v>6951</v>
      </c>
      <c r="F200" s="176" t="s">
        <v>6952</v>
      </c>
      <c r="G200" s="176" t="s">
        <v>6447</v>
      </c>
      <c r="H200" s="176" t="s">
        <v>6962</v>
      </c>
      <c r="I200" s="176" t="s">
        <v>4245</v>
      </c>
      <c r="J200" s="176" t="s">
        <v>4913</v>
      </c>
      <c r="K200" s="422" t="s">
        <v>5799</v>
      </c>
      <c r="Q200" t="s">
        <v>25</v>
      </c>
    </row>
    <row r="201" spans="1:20" ht="15.75">
      <c r="A201" s="425" t="s">
        <v>6953</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6961</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6960</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6963</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6964</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6954</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6955</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6956</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6957</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6958</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6959</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6484</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6950</v>
      </c>
      <c r="D229" s="176" t="s">
        <v>6949</v>
      </c>
      <c r="E229" s="434" t="s">
        <v>6951</v>
      </c>
      <c r="F229" s="176" t="s">
        <v>6952</v>
      </c>
      <c r="G229" s="176" t="s">
        <v>6447</v>
      </c>
      <c r="H229" s="176" t="s">
        <v>6962</v>
      </c>
      <c r="I229" s="176" t="s">
        <v>4245</v>
      </c>
      <c r="J229" s="176" t="s">
        <v>4913</v>
      </c>
      <c r="K229" s="422" t="s">
        <v>4656</v>
      </c>
    </row>
    <row r="230" spans="1:11" ht="15.75">
      <c r="A230" s="425" t="s">
        <v>6999</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6993</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6994</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6995</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6480</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6996</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6997</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6998</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6957</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6622</v>
      </c>
      <c r="I164" t="s">
        <v>25</v>
      </c>
    </row>
    <row r="165" spans="4:11">
      <c r="D165" s="18">
        <v>-2540000</v>
      </c>
      <c r="E165" s="235" t="s">
        <v>6623</v>
      </c>
      <c r="K165" t="s">
        <v>25</v>
      </c>
    </row>
    <row r="166" spans="4:11">
      <c r="D166" s="18">
        <v>-1040000</v>
      </c>
      <c r="E166" s="235" t="s">
        <v>6624</v>
      </c>
    </row>
    <row r="167" spans="4:11">
      <c r="D167" s="18">
        <v>-50252149</v>
      </c>
      <c r="E167" s="235" t="s">
        <v>6637</v>
      </c>
    </row>
    <row r="168" spans="4:11">
      <c r="D168" s="18">
        <v>-1500000</v>
      </c>
      <c r="E168" s="235" t="s">
        <v>6930</v>
      </c>
    </row>
    <row r="169" spans="4:11">
      <c r="D169" s="18">
        <v>-2500000</v>
      </c>
      <c r="E169" s="235" t="s">
        <v>6931</v>
      </c>
      <c r="H169" t="s">
        <v>25</v>
      </c>
    </row>
    <row r="170" spans="4:11">
      <c r="D170" s="18">
        <v>-2600000</v>
      </c>
      <c r="E170" s="235" t="s">
        <v>6939</v>
      </c>
    </row>
    <row r="171" spans="4:11">
      <c r="D171" s="18">
        <v>-2060000</v>
      </c>
      <c r="E171" s="235" t="s">
        <v>7009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7092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I76"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1.9425018301719622E-6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3114966064</v>
      </c>
      <c r="O22" s="97">
        <v>2117584</v>
      </c>
      <c r="P22" s="183">
        <f>P48</f>
        <v>1471</v>
      </c>
      <c r="Q22" s="67">
        <f t="shared" si="6"/>
        <v>27.883996683150016</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7.5923122661716667</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22443017.057084084</v>
      </c>
      <c r="G24" s="93">
        <f t="shared" si="0"/>
        <v>257863328.32485455</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6940</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40590182.057084084</v>
      </c>
      <c r="M28" s="187" t="s">
        <v>4415</v>
      </c>
      <c r="N28" s="111">
        <v>169</v>
      </c>
      <c r="O28" s="253"/>
      <c r="P28" s="97" t="s">
        <v>25</v>
      </c>
      <c r="Q28" s="67">
        <f t="shared" si="6"/>
        <v>1.5128240059864591E-6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0.33661676876399294</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449327247</v>
      </c>
      <c r="O33" s="67">
        <v>305457</v>
      </c>
      <c r="P33" s="97">
        <f>P48</f>
        <v>1471</v>
      </c>
      <c r="Q33" s="67">
        <f t="shared" si="6"/>
        <v>4.0222073716296283</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6636</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6635</v>
      </c>
      <c r="L41" s="115">
        <v>-43000000</v>
      </c>
      <c r="M41" s="166" t="s">
        <v>6638</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6639</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6620</v>
      </c>
      <c r="L44" s="115">
        <v>20000000</v>
      </c>
      <c r="M44" s="166" t="s">
        <v>4414</v>
      </c>
      <c r="N44" s="326">
        <v>62</v>
      </c>
      <c r="O44" s="112"/>
      <c r="P44" t="s">
        <v>25</v>
      </c>
      <c r="Q44" s="67">
        <f t="shared" ref="Q44:Q54" si="26">N44*100/$S$180</f>
        <v>5.5500052290627493E-7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7076</v>
      </c>
      <c r="L45" s="115">
        <v>25000000</v>
      </c>
      <c r="M45" s="166" t="s">
        <v>6477</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4430034180</v>
      </c>
      <c r="O48" s="97">
        <v>3011580</v>
      </c>
      <c r="P48" s="97">
        <v>1471</v>
      </c>
      <c r="Q48" s="67">
        <f t="shared" si="26"/>
        <v>39.655988490204372</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6621</v>
      </c>
      <c r="L49" s="115">
        <f>-20*P53</f>
        <v>-25240000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6648</v>
      </c>
      <c r="L51" s="115">
        <f>-10*P53</f>
        <v>-12620000</v>
      </c>
      <c r="M51" s="19" t="s">
        <v>5267</v>
      </c>
      <c r="N51" s="111">
        <f t="shared" si="29"/>
        <v>2303714000</v>
      </c>
      <c r="O51" s="97">
        <v>1645510</v>
      </c>
      <c r="P51" s="97">
        <v>1400</v>
      </c>
      <c r="Q51" s="67">
        <f t="shared" si="26"/>
        <v>20.621975397201712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6649</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12620000</v>
      </c>
      <c r="O53" s="67">
        <v>10</v>
      </c>
      <c r="P53" s="67">
        <v>1262000</v>
      </c>
      <c r="Q53" s="67">
        <f t="shared" si="26"/>
        <v>0.11296946127543854</v>
      </c>
      <c r="R53" s="167" t="s">
        <v>25</v>
      </c>
      <c r="S53" s="206" t="s">
        <v>5676</v>
      </c>
      <c r="T53" s="194">
        <f>T52-7</f>
        <v>351</v>
      </c>
      <c r="U53" s="206" t="s">
        <v>6472</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7075</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7006</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113</v>
      </c>
      <c r="U56" s="206" t="s">
        <v>6473</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6474</v>
      </c>
      <c r="T57" s="194">
        <f>T56-1</f>
        <v>112</v>
      </c>
      <c r="U57" s="206" t="s">
        <v>6475</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6478</v>
      </c>
      <c r="T58" s="194">
        <f>T57-4</f>
        <v>108</v>
      </c>
      <c r="U58" s="206" t="s">
        <v>6479</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107</v>
      </c>
      <c r="U59" s="206" t="s">
        <v>6488</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6492</v>
      </c>
      <c r="T60" s="194">
        <f>T59-1</f>
        <v>106</v>
      </c>
      <c r="U60" s="206" t="s">
        <v>6493</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-126131484.25813799</v>
      </c>
      <c r="P61" t="s">
        <v>25</v>
      </c>
      <c r="R61" s="167"/>
      <c r="S61" s="206" t="s">
        <v>955</v>
      </c>
      <c r="T61" s="194">
        <f>T108-1085</f>
        <v>45</v>
      </c>
      <c r="U61" s="206" t="s">
        <v>6932</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6974</v>
      </c>
      <c r="T62" s="194">
        <f>T108-1121</f>
        <v>9</v>
      </c>
      <c r="U62" s="206" t="s">
        <v>6975</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6977</v>
      </c>
      <c r="T63" s="194">
        <f>T108-1122</f>
        <v>8</v>
      </c>
      <c r="U63" s="206" t="s">
        <v>6978</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11026480792.741861</v>
      </c>
      <c r="P64" t="s">
        <v>25</v>
      </c>
      <c r="R64" s="167"/>
      <c r="S64" s="206" t="s">
        <v>6979</v>
      </c>
      <c r="T64" s="194">
        <f>T108-1123</f>
        <v>7</v>
      </c>
      <c r="U64" s="206" t="s">
        <v>6980</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22443017.057084084</v>
      </c>
      <c r="M65" s="166"/>
      <c r="N65" s="111">
        <f>N16+N17+N37</f>
        <v>141053</v>
      </c>
      <c r="P65" t="s">
        <v>25</v>
      </c>
      <c r="R65" s="167"/>
      <c r="S65" s="206" t="s">
        <v>6981</v>
      </c>
      <c r="T65" s="194">
        <f>T108-1124</f>
        <v>6</v>
      </c>
      <c r="U65" s="206" t="s">
        <v>6982</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1088</v>
      </c>
      <c r="AN65" s="111">
        <f t="shared" si="12"/>
        <v>1082560000</v>
      </c>
      <c r="AO65" s="20"/>
    </row>
    <row r="66" spans="1:41">
      <c r="K66" s="206" t="s">
        <v>593</v>
      </c>
      <c r="L66" s="111">
        <f>L16+L17+L28</f>
        <v>45296554.057084084</v>
      </c>
      <c r="M66" s="111"/>
      <c r="N66" s="166"/>
      <c r="O66" s="113"/>
      <c r="P66" s="113" t="s">
        <v>25</v>
      </c>
      <c r="Q66" s="113"/>
      <c r="R66" s="167"/>
      <c r="S66" s="206" t="s">
        <v>7010</v>
      </c>
      <c r="T66" s="194">
        <f>T108-1138</f>
        <v>-8</v>
      </c>
      <c r="U66" s="206" t="s">
        <v>7011</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1086</v>
      </c>
      <c r="AN66" s="111">
        <f t="shared" si="12"/>
        <v>14118000000</v>
      </c>
      <c r="AO66" s="20"/>
    </row>
    <row r="67" spans="1:41">
      <c r="A67" t="s">
        <v>25</v>
      </c>
      <c r="F67" t="s">
        <v>310</v>
      </c>
      <c r="G67" t="s">
        <v>4080</v>
      </c>
      <c r="K67" s="54" t="s">
        <v>708</v>
      </c>
      <c r="L67" s="111">
        <f>L65+N7</f>
        <v>122443017.05708408</v>
      </c>
      <c r="O67" s="94"/>
      <c r="P67" s="120" t="s">
        <v>25</v>
      </c>
      <c r="Q67" s="120"/>
      <c r="R67" s="167"/>
      <c r="S67" s="206" t="s">
        <v>7064</v>
      </c>
      <c r="T67" s="194">
        <f>T108-1144</f>
        <v>-14</v>
      </c>
      <c r="U67" s="206" t="s">
        <v>7065</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1084</v>
      </c>
      <c r="AN67" s="111">
        <f t="shared" si="12"/>
        <v>-3360400000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1081</v>
      </c>
      <c r="AN68" s="111">
        <f t="shared" si="12"/>
        <v>49336840000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1080</v>
      </c>
      <c r="AN69" s="111">
        <f t="shared" si="12"/>
        <v>36180000000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1079</v>
      </c>
      <c r="AN70" s="115">
        <f t="shared" si="12"/>
        <v>12948000000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1078</v>
      </c>
      <c r="AN71" s="115">
        <f t="shared" si="12"/>
        <v>16709000000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1074</v>
      </c>
      <c r="AN72" s="115">
        <f t="shared" si="12"/>
        <v>161100000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1073</v>
      </c>
      <c r="AN73" s="178">
        <f t="shared" si="12"/>
        <v>31117000000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1058</v>
      </c>
      <c r="AN74" s="115">
        <f t="shared" si="12"/>
        <v>-137540000</v>
      </c>
      <c r="AO74" s="20" t="s">
        <v>4185</v>
      </c>
    </row>
    <row r="75" spans="1:41" ht="30">
      <c r="G75" s="94"/>
      <c r="H75" s="94"/>
      <c r="M75" s="202" t="s">
        <v>4613</v>
      </c>
      <c r="N75" s="94"/>
      <c r="P75" s="113"/>
      <c r="Q75" s="113"/>
      <c r="R75" s="167">
        <f>SUM(N22:N25)-SUM(R20:R74)</f>
        <v>2160871115.6758094</v>
      </c>
      <c r="S75" s="166" t="s">
        <v>25</v>
      </c>
      <c r="T75" s="166" t="s">
        <v>25</v>
      </c>
      <c r="U75" s="166" t="s">
        <v>25</v>
      </c>
      <c r="V75" s="166"/>
      <c r="W75" s="166"/>
      <c r="X75" s="32"/>
      <c r="Y75" s="32"/>
      <c r="Z75" t="s">
        <v>25</v>
      </c>
      <c r="AA75" s="120"/>
      <c r="AC75" s="94"/>
      <c r="AI75" s="20">
        <v>55</v>
      </c>
      <c r="AJ75" s="115" t="s">
        <v>4231</v>
      </c>
      <c r="AK75" s="115">
        <v>232000</v>
      </c>
      <c r="AL75" s="20">
        <v>2</v>
      </c>
      <c r="AM75" s="97">
        <f t="shared" si="36"/>
        <v>1051</v>
      </c>
      <c r="AN75" s="115">
        <f>AK75*AM75</f>
        <v>243832000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1049</v>
      </c>
      <c r="AN76" s="115">
        <f t="shared" si="12"/>
        <v>-178330000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1046</v>
      </c>
      <c r="AN77" s="115">
        <f t="shared" si="12"/>
        <v>-313800000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1043</v>
      </c>
      <c r="AN78" s="115">
        <f t="shared" si="12"/>
        <v>-11890200000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1030</v>
      </c>
      <c r="AN79" s="115">
        <f>AK79*AM79</f>
        <v>-10300000000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1029</v>
      </c>
      <c r="AN80" s="115">
        <f>AK80*AM80</f>
        <v>-2521050000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1024</v>
      </c>
      <c r="AN81" s="115">
        <f t="shared" si="12"/>
        <v>-467026944</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1021</v>
      </c>
      <c r="AN83" s="115">
        <f t="shared" si="12"/>
        <v>-6365291770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1018</v>
      </c>
      <c r="AN84" s="115">
        <f t="shared" si="12"/>
        <v>1986074226</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1014</v>
      </c>
      <c r="AN85" s="115">
        <f t="shared" si="12"/>
        <v>608400000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1009</v>
      </c>
      <c r="AN86" s="115">
        <f t="shared" si="12"/>
        <v>7567500000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1007</v>
      </c>
      <c r="AN87" s="115">
        <f t="shared" si="12"/>
        <v>-591930712</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1004</v>
      </c>
      <c r="AN89" s="115">
        <f t="shared" si="12"/>
        <v>2459800000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1003</v>
      </c>
      <c r="AN90" s="115">
        <f t="shared" si="12"/>
        <v>1504500000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1002</v>
      </c>
      <c r="AN91" s="115">
        <f t="shared" si="12"/>
        <v>2653296000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1001</v>
      </c>
      <c r="AN92" s="115">
        <f t="shared" si="12"/>
        <v>615615000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9" t="s">
        <v>7013</v>
      </c>
      <c r="R95" s="167"/>
      <c r="S95" s="19" t="s">
        <v>5747</v>
      </c>
      <c r="T95" s="194">
        <f>T94-1</f>
        <v>295</v>
      </c>
      <c r="U95" s="187" t="s">
        <v>7071</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995</v>
      </c>
      <c r="AN95" s="115">
        <f t="shared" si="12"/>
        <v>2257655000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994</v>
      </c>
      <c r="AN96" s="115">
        <f t="shared" si="12"/>
        <v>745500000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990</v>
      </c>
      <c r="AN97" s="115">
        <f t="shared" si="12"/>
        <v>1881000000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987</v>
      </c>
      <c r="AN98" s="115">
        <f t="shared" si="12"/>
        <v>6316800000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986</v>
      </c>
      <c r="AN99" s="115">
        <f t="shared" si="12"/>
        <v>4930000</v>
      </c>
      <c r="AO99" s="97"/>
      <c r="AQ99" t="s">
        <v>25</v>
      </c>
    </row>
    <row r="100" spans="4:48">
      <c r="D100" s="2" t="s">
        <v>6</v>
      </c>
      <c r="E100" s="3">
        <f>SUM(E77:E98)</f>
        <v>3383333</v>
      </c>
      <c r="F100" s="94"/>
      <c r="G100" s="94"/>
      <c r="H100" s="94"/>
      <c r="I100" s="94"/>
      <c r="J100" s="94" t="s">
        <v>25</v>
      </c>
      <c r="K100" s="112"/>
      <c r="L100" s="94"/>
      <c r="M100" s="94"/>
      <c r="R100" s="111">
        <f>SUM(N30:N33)-SUM(R80:R99)</f>
        <v>454018213.7462979</v>
      </c>
      <c r="S100" s="166"/>
      <c r="T100" s="166"/>
      <c r="U100" s="166"/>
      <c r="V100" s="166"/>
      <c r="W100" s="166"/>
      <c r="X100" s="32"/>
      <c r="Y100" s="32"/>
      <c r="AA100" t="s">
        <v>25</v>
      </c>
      <c r="AB100" t="s">
        <v>25</v>
      </c>
      <c r="AI100" s="97">
        <v>80</v>
      </c>
      <c r="AJ100" s="111" t="s">
        <v>4495</v>
      </c>
      <c r="AK100" s="111">
        <v>-1750148</v>
      </c>
      <c r="AL100" s="97">
        <v>1</v>
      </c>
      <c r="AM100" s="97">
        <f t="shared" si="43"/>
        <v>981</v>
      </c>
      <c r="AN100" s="115">
        <f t="shared" si="12"/>
        <v>-1716895188</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980</v>
      </c>
      <c r="AN101" s="115">
        <f t="shared" si="12"/>
        <v>392000000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980</v>
      </c>
      <c r="AN102" s="115">
        <f t="shared" si="12"/>
        <v>-2063312580</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979</v>
      </c>
      <c r="AN103" s="115">
        <f t="shared" si="12"/>
        <v>-5411538022</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976</v>
      </c>
      <c r="AN105" s="115">
        <f t="shared" si="12"/>
        <v>-3874479904</v>
      </c>
      <c r="AO105" s="97"/>
    </row>
    <row r="106" spans="4:48" ht="30">
      <c r="F106" s="196">
        <f>$L$114/G106</f>
        <v>8579.1978246091094</v>
      </c>
      <c r="G106" s="196">
        <f>P48</f>
        <v>1471</v>
      </c>
      <c r="H106" s="196" t="s">
        <v>4699</v>
      </c>
      <c r="I106" s="196" t="s">
        <v>5286</v>
      </c>
      <c r="J106" s="207" t="s">
        <v>4216</v>
      </c>
      <c r="K106" s="196">
        <v>210</v>
      </c>
      <c r="L106" s="208">
        <f t="shared" ref="L106:L111" si="46">K106*$L$114</f>
        <v>2650200000</v>
      </c>
      <c r="M106" s="208">
        <f>N22+N33+N48</f>
        <v>7994327491</v>
      </c>
      <c r="N106" s="181">
        <f>L106-M106</f>
        <v>-5344127491</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975</v>
      </c>
      <c r="AN106" s="115">
        <f t="shared" si="12"/>
        <v>-24935093625</v>
      </c>
      <c r="AO106" s="97"/>
      <c r="AQ106" t="s">
        <v>25</v>
      </c>
    </row>
    <row r="107" spans="4:48">
      <c r="F107" s="206">
        <v>0</v>
      </c>
      <c r="G107" s="206">
        <f>P47</f>
        <v>27800</v>
      </c>
      <c r="H107" s="206" t="s">
        <v>4852</v>
      </c>
      <c r="I107" s="206" t="s">
        <v>5287</v>
      </c>
      <c r="J107" s="32" t="s">
        <v>5267</v>
      </c>
      <c r="K107" s="206">
        <v>33</v>
      </c>
      <c r="L107" s="1">
        <f t="shared" si="46"/>
        <v>416460000</v>
      </c>
      <c r="M107" s="1">
        <f>N51+N30+N23</f>
        <v>3189467400</v>
      </c>
      <c r="N107" s="111">
        <f t="shared" ref="N107:N109" si="47">L107-M107</f>
        <v>-2773007400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975</v>
      </c>
      <c r="AN107" s="115">
        <f t="shared" si="12"/>
        <v>3900000000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974</v>
      </c>
      <c r="AN108" s="115">
        <f t="shared" si="12"/>
        <v>-4870000000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972</v>
      </c>
      <c r="AN109" s="115">
        <f t="shared" si="12"/>
        <v>9720000000</v>
      </c>
      <c r="AO109" s="97"/>
    </row>
    <row r="110" spans="4:48">
      <c r="F110" s="196"/>
      <c r="G110" s="196"/>
      <c r="H110" s="196"/>
      <c r="I110" s="196"/>
      <c r="J110" s="207" t="s">
        <v>314</v>
      </c>
      <c r="K110" s="196">
        <v>1</v>
      </c>
      <c r="L110" s="208">
        <f t="shared" si="46"/>
        <v>12620000</v>
      </c>
      <c r="M110" s="208">
        <f>N52+N24+N45+N29+N21</f>
        <v>0</v>
      </c>
      <c r="N110" s="181">
        <f>L110-M110</f>
        <v>12620000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968</v>
      </c>
      <c r="AN110" s="115">
        <f t="shared" si="12"/>
        <v>-5074195016</v>
      </c>
      <c r="AO110" s="97"/>
    </row>
    <row r="111" spans="4:48">
      <c r="F111" s="189"/>
      <c r="G111" s="189"/>
      <c r="H111" s="189"/>
      <c r="I111" s="189"/>
      <c r="J111" s="237" t="s">
        <v>5394</v>
      </c>
      <c r="K111" s="189">
        <v>642</v>
      </c>
      <c r="L111" s="238">
        <f t="shared" si="46"/>
        <v>8102040000</v>
      </c>
      <c r="M111" s="238">
        <v>0</v>
      </c>
      <c r="N111" s="84">
        <f>L111-M111</f>
        <v>8102040000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966</v>
      </c>
      <c r="AN112" s="115">
        <f t="shared" si="12"/>
        <v>-14490000000</v>
      </c>
      <c r="AO112" s="97"/>
      <c r="AP112" t="s">
        <v>25</v>
      </c>
    </row>
    <row r="113" spans="6:47">
      <c r="F113" s="196"/>
      <c r="G113" s="196"/>
      <c r="H113" s="196"/>
      <c r="I113" s="196"/>
      <c r="J113" s="207" t="s">
        <v>4985</v>
      </c>
      <c r="K113" s="196">
        <f>SUM(K106:K111)</f>
        <v>886</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966</v>
      </c>
      <c r="AN113" s="115">
        <f t="shared" si="12"/>
        <v>2898000000</v>
      </c>
      <c r="AO113" s="97"/>
    </row>
    <row r="114" spans="6:47">
      <c r="F114" s="206"/>
      <c r="G114" s="206"/>
      <c r="H114" s="206" t="s">
        <v>25</v>
      </c>
      <c r="I114" s="206"/>
      <c r="J114" s="32"/>
      <c r="K114" s="206">
        <v>0</v>
      </c>
      <c r="L114" s="39">
        <f>10*P53</f>
        <v>12620000</v>
      </c>
      <c r="M114" s="1">
        <f>K114*L114</f>
        <v>0</v>
      </c>
      <c r="N114" s="111">
        <f>SUM(N106:N112)-M114</f>
        <v>-7475339</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965</v>
      </c>
      <c r="AN114" s="115">
        <f t="shared" si="12"/>
        <v>-2030105240</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965</v>
      </c>
      <c r="AN115" s="115">
        <f t="shared" si="12"/>
        <v>212300000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962</v>
      </c>
      <c r="AN116" s="115">
        <f t="shared" si="12"/>
        <v>3848000000</v>
      </c>
      <c r="AO116" s="97"/>
    </row>
    <row r="117" spans="6:47">
      <c r="M117" t="s">
        <v>25</v>
      </c>
      <c r="R117" s="167"/>
      <c r="S117" s="206" t="s">
        <v>5710</v>
      </c>
      <c r="T117" s="206">
        <f>T116-53</f>
        <v>324</v>
      </c>
      <c r="U117" s="206" t="s">
        <v>6966</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961</v>
      </c>
      <c r="AN117" s="115">
        <f t="shared" si="12"/>
        <v>-8649000000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961</v>
      </c>
      <c r="AN118" s="115">
        <f t="shared" si="12"/>
        <v>13357900000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6466</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6467</v>
      </c>
      <c r="T121" s="206">
        <f>T120-117</f>
        <v>115</v>
      </c>
      <c r="U121" s="206" t="s">
        <v>6468</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6476</v>
      </c>
      <c r="T122" s="206">
        <f>T121-4</f>
        <v>111</v>
      </c>
      <c r="U122" s="206" t="s">
        <v>6613</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6612</v>
      </c>
      <c r="T123" s="206">
        <f>T122-3</f>
        <v>108</v>
      </c>
      <c r="U123" s="206" t="s">
        <v>6938</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6619</v>
      </c>
      <c r="T124" s="206">
        <f>T123-5</f>
        <v>103</v>
      </c>
      <c r="U124" s="206" t="s">
        <v>6929</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6933</v>
      </c>
      <c r="T125" s="206">
        <f>T108-1086</f>
        <v>44</v>
      </c>
      <c r="U125" s="206" t="s">
        <v>6935</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6941</v>
      </c>
      <c r="T126" s="206">
        <f>T108-1100</f>
        <v>30</v>
      </c>
      <c r="U126" s="206" t="s">
        <v>6943</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6944</v>
      </c>
      <c r="T127" s="206">
        <f>T108-1102</f>
        <v>28</v>
      </c>
      <c r="U127" s="206" t="s">
        <v>6945</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6946</v>
      </c>
      <c r="T128" s="206">
        <f>T108-1103</f>
        <v>27</v>
      </c>
      <c r="U128" s="206" t="s">
        <v>6984</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952</v>
      </c>
      <c r="AN128" s="186">
        <f t="shared" si="65"/>
        <v>37439582936</v>
      </c>
      <c r="AO128" s="87" t="s">
        <v>4566</v>
      </c>
    </row>
    <row r="129" spans="7:44">
      <c r="K129" s="224" t="s">
        <v>5352</v>
      </c>
      <c r="R129" s="167"/>
      <c r="S129" s="206" t="s">
        <v>6969</v>
      </c>
      <c r="T129" s="206">
        <f>T108-1113</f>
        <v>17</v>
      </c>
      <c r="U129" s="206" t="s">
        <v>6970</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948</v>
      </c>
      <c r="AN129" s="88">
        <f t="shared" si="65"/>
        <v>8294099400</v>
      </c>
      <c r="AO129" s="87" t="s">
        <v>4581</v>
      </c>
    </row>
    <row r="130" spans="7:44">
      <c r="K130" s="224" t="s">
        <v>4508</v>
      </c>
      <c r="R130" s="167"/>
      <c r="S130" s="206" t="s">
        <v>6971</v>
      </c>
      <c r="T130" s="206">
        <f>T108-1114</f>
        <v>16</v>
      </c>
      <c r="U130" s="206" t="s">
        <v>6972</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947</v>
      </c>
      <c r="AN130" s="115">
        <f t="shared" si="65"/>
        <v>56820000</v>
      </c>
      <c r="AO130" s="97" t="s">
        <v>4583</v>
      </c>
    </row>
    <row r="131" spans="7:44">
      <c r="K131" s="224" t="s">
        <v>4509</v>
      </c>
      <c r="P131" t="s">
        <v>25</v>
      </c>
      <c r="R131" s="167"/>
      <c r="S131" s="206" t="s">
        <v>6973</v>
      </c>
      <c r="T131" s="206">
        <f>T108-1117</f>
        <v>13</v>
      </c>
      <c r="U131" s="206" t="s">
        <v>6992</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946</v>
      </c>
      <c r="AN131" s="115">
        <f t="shared" si="65"/>
        <v>4493500000</v>
      </c>
      <c r="AO131" s="20"/>
      <c r="AR131" t="s">
        <v>25</v>
      </c>
    </row>
    <row r="132" spans="7:44">
      <c r="R132" s="167"/>
      <c r="S132" s="206" t="s">
        <v>6990</v>
      </c>
      <c r="T132" s="206">
        <f>T108-1130</f>
        <v>0</v>
      </c>
      <c r="U132" s="206" t="s">
        <v>6991</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946</v>
      </c>
      <c r="AN132" s="88">
        <f t="shared" si="65"/>
        <v>12393697360</v>
      </c>
      <c r="AO132" s="87" t="s">
        <v>4594</v>
      </c>
    </row>
    <row r="133" spans="7:44">
      <c r="R133" s="167"/>
      <c r="S133" s="206" t="s">
        <v>7001</v>
      </c>
      <c r="T133" s="206">
        <f>T108-1134</f>
        <v>-4</v>
      </c>
      <c r="U133" s="206" t="s">
        <v>7002</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945</v>
      </c>
      <c r="AN133" s="115">
        <f t="shared" si="65"/>
        <v>-926100000</v>
      </c>
      <c r="AO133" s="20"/>
    </row>
    <row r="134" spans="7:44">
      <c r="R134" s="167"/>
      <c r="S134" s="206" t="s">
        <v>7004</v>
      </c>
      <c r="T134" s="206">
        <f>T108-1135</f>
        <v>-5</v>
      </c>
      <c r="U134" s="206" t="s">
        <v>7008</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945</v>
      </c>
      <c r="AN134" s="88">
        <f t="shared" si="65"/>
        <v>12570191550</v>
      </c>
      <c r="AO134" s="87" t="s">
        <v>4594</v>
      </c>
      <c r="AR134" t="s">
        <v>25</v>
      </c>
    </row>
    <row r="135" spans="7:44">
      <c r="G135" s="32" t="s">
        <v>4216</v>
      </c>
      <c r="H135" s="32"/>
      <c r="I135" s="32" t="s">
        <v>4358</v>
      </c>
      <c r="K135" s="94"/>
      <c r="L135" s="94"/>
      <c r="M135" s="94"/>
      <c r="R135" s="167" t="s">
        <v>25</v>
      </c>
      <c r="S135" s="206" t="s">
        <v>7010</v>
      </c>
      <c r="T135" s="206">
        <f>T108-1138</f>
        <v>-8</v>
      </c>
      <c r="U135" s="206" t="s">
        <v>7012</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945</v>
      </c>
      <c r="AN135" s="115">
        <f t="shared" si="65"/>
        <v>381780000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940</v>
      </c>
      <c r="AN136" s="88">
        <f t="shared" si="65"/>
        <v>4034130320</v>
      </c>
      <c r="AO136" s="87" t="s">
        <v>4610</v>
      </c>
    </row>
    <row r="137" spans="7:44">
      <c r="G137" s="32">
        <f>(N32+N23+N25+N30+N46+N47+N24+N31+N49+N51)/P48</f>
        <v>2168230.7273963289</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938</v>
      </c>
      <c r="AN137" s="115">
        <f t="shared" si="65"/>
        <v>938000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933</v>
      </c>
      <c r="AN138" s="77">
        <f t="shared" si="65"/>
        <v>8153915247</v>
      </c>
      <c r="AO138" s="119" t="s">
        <v>4581</v>
      </c>
    </row>
    <row r="139" spans="7:44">
      <c r="G139" s="32">
        <f>(X151+X152)/P48</f>
        <v>366522.42327910854</v>
      </c>
      <c r="H139" s="32" t="s">
        <v>5421</v>
      </c>
      <c r="I139" s="32">
        <f>(X151+X152)/P47</f>
        <v>19394.046210200311</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931</v>
      </c>
      <c r="AN139" s="77">
        <f t="shared" si="65"/>
        <v>16381203818</v>
      </c>
      <c r="AO139" s="119" t="s">
        <v>4623</v>
      </c>
      <c r="AR139" t="s">
        <v>25</v>
      </c>
    </row>
    <row r="140" spans="7:44">
      <c r="G140" s="32">
        <f>X149/P48</f>
        <v>2631068.6908901068</v>
      </c>
      <c r="H140" s="32" t="s">
        <v>480</v>
      </c>
      <c r="I140" s="32">
        <f>X149/P47</f>
        <v>139219.49799637939</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930</v>
      </c>
      <c r="AN140" s="77">
        <f t="shared" si="65"/>
        <v>12401837370</v>
      </c>
      <c r="AO140" s="119" t="s">
        <v>4594</v>
      </c>
    </row>
    <row r="141" spans="7:44">
      <c r="G141" s="32" t="e">
        <f>G138-G139-G140</f>
        <v>#REF!</v>
      </c>
      <c r="H141" s="32" t="s">
        <v>5</v>
      </c>
      <c r="I141" s="32" t="e">
        <f>I138-I139-I140</f>
        <v>#REF!</v>
      </c>
      <c r="J141" s="112"/>
      <c r="K141" s="94"/>
      <c r="L141" s="94"/>
      <c r="M141" t="s">
        <v>25</v>
      </c>
      <c r="N141" s="94"/>
      <c r="R141" s="111">
        <f>SUM(N46:N53)-SUM(R108:R140)</f>
        <v>4868651161.3686695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917</v>
      </c>
      <c r="AN141" s="216">
        <f t="shared" si="65"/>
        <v>45850000000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906</v>
      </c>
      <c r="AN142" s="115">
        <f t="shared" si="65"/>
        <v>27180000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903</v>
      </c>
      <c r="AN143" s="115">
        <f t="shared" si="65"/>
        <v>541800000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902</v>
      </c>
      <c r="AN144" s="115">
        <f t="shared" si="65"/>
        <v>27060000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898</v>
      </c>
      <c r="AN146" s="35">
        <f>AK146*AM146</f>
        <v>-28208155600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897</v>
      </c>
      <c r="AN147" s="115">
        <f>AK147*AM147</f>
        <v>62790000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888</v>
      </c>
      <c r="AN148" s="115">
        <f>AK148*AM148</f>
        <v>17760000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3870302044.2993474</v>
      </c>
      <c r="Y149">
        <f>X149*100/$X$155</f>
        <v>34.645478361151007</v>
      </c>
      <c r="Z149" t="s">
        <v>25</v>
      </c>
      <c r="AA149" t="s">
        <v>25</v>
      </c>
      <c r="AB149" t="s">
        <v>25</v>
      </c>
      <c r="AI149" s="97">
        <v>129</v>
      </c>
      <c r="AJ149" s="111" t="s">
        <v>4779</v>
      </c>
      <c r="AK149" s="111">
        <v>1000000</v>
      </c>
      <c r="AL149" s="97">
        <v>1</v>
      </c>
      <c r="AM149" s="20">
        <f t="shared" si="68"/>
        <v>878</v>
      </c>
      <c r="AN149" s="115">
        <f>AK149*AM149</f>
        <v>878000000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6761704117.0570841</v>
      </c>
      <c r="Y150" s="94">
        <f>X150*100/$X$155</f>
        <v>60.528214850067627</v>
      </c>
      <c r="Z150" t="s">
        <v>25</v>
      </c>
      <c r="AA150" t="s">
        <v>25</v>
      </c>
      <c r="AB150" t="s">
        <v>25</v>
      </c>
      <c r="AD150" s="112" t="s">
        <v>25</v>
      </c>
      <c r="AE150" s="112"/>
      <c r="AI150" s="97">
        <v>130</v>
      </c>
      <c r="AJ150" s="111" t="s">
        <v>4780</v>
      </c>
      <c r="AK150" s="111">
        <v>65630227</v>
      </c>
      <c r="AL150" s="97">
        <v>0</v>
      </c>
      <c r="AM150" s="20">
        <f t="shared" si="68"/>
        <v>877</v>
      </c>
      <c r="AN150" s="115">
        <f t="shared" ref="AN150:AN177" si="73">AK150*AM150</f>
        <v>57557709079</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126131484.25813799</v>
      </c>
      <c r="Y151" s="94">
        <f>X151*100/$X$155</f>
        <v>1.1290812857775994</v>
      </c>
      <c r="Z151" t="s">
        <v>25</v>
      </c>
      <c r="AB151" t="s">
        <v>25</v>
      </c>
      <c r="AD151" s="112"/>
      <c r="AI151" s="97">
        <v>131</v>
      </c>
      <c r="AJ151" s="111" t="s">
        <v>4780</v>
      </c>
      <c r="AK151" s="111">
        <v>-3500000</v>
      </c>
      <c r="AL151" s="97">
        <v>6</v>
      </c>
      <c r="AM151" s="20">
        <f t="shared" si="68"/>
        <v>877</v>
      </c>
      <c r="AN151" s="115">
        <f t="shared" si="73"/>
        <v>-3069500000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413023000.38543069</v>
      </c>
      <c r="Y152" s="94">
        <f>X152*100/$X$155</f>
        <v>3.6972255030037511</v>
      </c>
      <c r="AA152" t="s">
        <v>25</v>
      </c>
      <c r="AD152" s="112"/>
      <c r="AE152" s="112"/>
      <c r="AI152" s="97">
        <v>132</v>
      </c>
      <c r="AJ152" s="111" t="s">
        <v>4792</v>
      </c>
      <c r="AK152" s="111">
        <v>2520000</v>
      </c>
      <c r="AL152" s="97">
        <v>12</v>
      </c>
      <c r="AM152" s="20">
        <f t="shared" si="68"/>
        <v>871</v>
      </c>
      <c r="AN152" s="115">
        <f t="shared" si="73"/>
        <v>2194920000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859</v>
      </c>
      <c r="AN153" s="115">
        <f t="shared" si="73"/>
        <v>1202600000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855</v>
      </c>
      <c r="AN154" s="115">
        <f t="shared" si="73"/>
        <v>1325250000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11171160646.000002</v>
      </c>
      <c r="Y155" s="94"/>
      <c r="Z155" t="s">
        <v>25</v>
      </c>
      <c r="AA155" t="s">
        <v>25</v>
      </c>
      <c r="AI155" s="97">
        <v>135</v>
      </c>
      <c r="AJ155" s="111" t="s">
        <v>4799</v>
      </c>
      <c r="AK155" s="111">
        <v>250000</v>
      </c>
      <c r="AL155" s="97">
        <v>6</v>
      </c>
      <c r="AM155" s="20">
        <f t="shared" si="68"/>
        <v>853</v>
      </c>
      <c r="AN155" s="115">
        <f t="shared" si="73"/>
        <v>213250000</v>
      </c>
      <c r="AO155" s="20"/>
    </row>
    <row r="156" spans="5:45">
      <c r="G156" s="32" t="s">
        <v>6458</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73908246.614569306</v>
      </c>
      <c r="Y156" s="94"/>
      <c r="Z156" t="s">
        <v>25</v>
      </c>
      <c r="AA156" t="s">
        <v>25</v>
      </c>
      <c r="AI156" s="97">
        <v>136</v>
      </c>
      <c r="AJ156" s="111" t="s">
        <v>4852</v>
      </c>
      <c r="AK156" s="111">
        <v>-48527480</v>
      </c>
      <c r="AL156" s="97">
        <v>14</v>
      </c>
      <c r="AM156" s="20">
        <f t="shared" si="68"/>
        <v>847</v>
      </c>
      <c r="AN156" s="115">
        <f t="shared" si="73"/>
        <v>-41102775560</v>
      </c>
      <c r="AO156" s="20" t="s">
        <v>4854</v>
      </c>
    </row>
    <row r="157" spans="5:45">
      <c r="G157" s="32"/>
      <c r="H157" s="32"/>
      <c r="I157" s="206"/>
      <c r="J157" s="206"/>
      <c r="K157" s="32"/>
      <c r="L157" s="97"/>
      <c r="M157" s="97"/>
      <c r="R157" s="94" t="s">
        <v>25</v>
      </c>
      <c r="S157" s="94"/>
      <c r="T157" s="94"/>
      <c r="U157" s="94" t="s">
        <v>25</v>
      </c>
      <c r="V157" s="87"/>
      <c r="W157" s="87" t="s">
        <v>5814</v>
      </c>
      <c r="X157" s="140">
        <f>X151-X156</f>
        <v>52223237.64356868</v>
      </c>
      <c r="Y157" s="94"/>
      <c r="AA157" t="s">
        <v>25</v>
      </c>
      <c r="AB157" t="s">
        <v>25</v>
      </c>
      <c r="AI157" s="97">
        <v>137</v>
      </c>
      <c r="AJ157" s="111" t="s">
        <v>4874</v>
      </c>
      <c r="AK157" s="111">
        <v>2100000</v>
      </c>
      <c r="AL157" s="97">
        <v>1</v>
      </c>
      <c r="AM157" s="20">
        <f t="shared" si="68"/>
        <v>833</v>
      </c>
      <c r="AN157" s="115">
        <f t="shared" si="73"/>
        <v>1749300000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-40590182.057084084</v>
      </c>
      <c r="Y158" s="94"/>
      <c r="Z158" t="s">
        <v>25</v>
      </c>
      <c r="AI158" s="97">
        <v>138</v>
      </c>
      <c r="AJ158" s="111" t="s">
        <v>4877</v>
      </c>
      <c r="AK158" s="111">
        <v>100000</v>
      </c>
      <c r="AL158" s="97">
        <v>4</v>
      </c>
      <c r="AM158" s="20">
        <f>AM159+AL158</f>
        <v>832</v>
      </c>
      <c r="AN158" s="115">
        <f t="shared" si="73"/>
        <v>83200000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828</v>
      </c>
      <c r="AN159" s="115">
        <f t="shared" ref="AN159:AN168" si="75">AK159*AM159</f>
        <v>745200000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828</v>
      </c>
      <c r="AN160" s="115">
        <f t="shared" si="75"/>
        <v>910800000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828</v>
      </c>
      <c r="AN161" s="115">
        <f t="shared" si="75"/>
        <v>95220000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828</v>
      </c>
      <c r="AN162" s="115">
        <f t="shared" si="75"/>
        <v>-910800000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828</v>
      </c>
      <c r="AN163" s="115">
        <f t="shared" si="75"/>
        <v>745200000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827</v>
      </c>
      <c r="AN164" s="115">
        <f t="shared" si="75"/>
        <v>1654000000</v>
      </c>
      <c r="AO164" s="20"/>
    </row>
    <row r="165" spans="7:44">
      <c r="G165" s="206" t="s">
        <v>5427</v>
      </c>
      <c r="H165" s="1">
        <v>70370000</v>
      </c>
      <c r="I165" t="s">
        <v>4082</v>
      </c>
      <c r="O165" s="94"/>
      <c r="P165" s="112"/>
      <c r="Q165" s="112"/>
      <c r="R165" s="36" t="s">
        <v>4510</v>
      </c>
      <c r="S165" s="93">
        <f>SUM(N45:N53)</f>
        <v>6746368180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827</v>
      </c>
      <c r="AN165" s="115">
        <f t="shared" si="75"/>
        <v>297720000</v>
      </c>
      <c r="AO165" s="20"/>
    </row>
    <row r="166" spans="7:44">
      <c r="G166" s="206" t="s">
        <v>5428</v>
      </c>
      <c r="H166" s="1">
        <v>1215000</v>
      </c>
      <c r="I166" t="s">
        <v>5454</v>
      </c>
      <c r="P166" s="112"/>
      <c r="Q166" s="112"/>
      <c r="R166" s="97" t="s">
        <v>4408</v>
      </c>
      <c r="S166" s="93">
        <f>SUM(N21:N26)</f>
        <v>3963115464</v>
      </c>
      <c r="U166" s="166" t="s">
        <v>4205</v>
      </c>
      <c r="V166" s="166">
        <v>1000</v>
      </c>
      <c r="W166" s="111">
        <v>247.393</v>
      </c>
      <c r="X166" s="111">
        <f t="shared" si="76"/>
        <v>247393</v>
      </c>
      <c r="Y166" s="97" t="s">
        <v>743</v>
      </c>
      <c r="Z166" t="s">
        <v>25</v>
      </c>
      <c r="AI166" s="97">
        <v>146</v>
      </c>
      <c r="AJ166" s="111" t="s">
        <v>4895</v>
      </c>
      <c r="AK166" s="111">
        <v>3000000</v>
      </c>
      <c r="AL166" s="97">
        <v>1</v>
      </c>
      <c r="AM166" s="20">
        <f t="shared" si="74"/>
        <v>826</v>
      </c>
      <c r="AN166" s="115">
        <f t="shared" si="75"/>
        <v>2478000000</v>
      </c>
      <c r="AO166" s="20"/>
    </row>
    <row r="167" spans="7:44">
      <c r="G167" s="206" t="s">
        <v>5429</v>
      </c>
      <c r="H167" s="1">
        <v>15350000</v>
      </c>
      <c r="I167" s="297" t="s">
        <v>5455</v>
      </c>
      <c r="P167" s="112"/>
      <c r="Q167" s="112"/>
      <c r="R167" s="97" t="s">
        <v>4409</v>
      </c>
      <c r="S167" s="93">
        <f>SUM(N29:N33)</f>
        <v>486931247</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825</v>
      </c>
      <c r="AN167" s="115">
        <f t="shared" si="75"/>
        <v>-543036450</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824</v>
      </c>
      <c r="AN168" s="115">
        <f t="shared" si="75"/>
        <v>824000000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809</v>
      </c>
      <c r="AN169" s="115">
        <f t="shared" si="73"/>
        <v>914372250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804</v>
      </c>
      <c r="AN170" s="115">
        <f t="shared" si="73"/>
        <v>165624000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802</v>
      </c>
      <c r="AN171" s="115">
        <f t="shared" si="73"/>
        <v>40100000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800</v>
      </c>
      <c r="AN172" s="115">
        <f t="shared" si="73"/>
        <v>84000000</v>
      </c>
      <c r="AO172" s="20"/>
    </row>
    <row r="173" spans="7:44">
      <c r="G173" s="206" t="s">
        <v>5473</v>
      </c>
      <c r="H173" s="1">
        <v>12642697.648548001</v>
      </c>
      <c r="O173" s="112"/>
      <c r="P173" s="112"/>
      <c r="Q173" s="112"/>
      <c r="R173" s="97" t="s">
        <v>6491</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796</v>
      </c>
      <c r="AN173" s="115">
        <f t="shared" si="73"/>
        <v>3980000000</v>
      </c>
      <c r="AO173" s="20"/>
    </row>
    <row r="174" spans="7:44">
      <c r="G174" s="206" t="s">
        <v>5474</v>
      </c>
      <c r="H174" s="1">
        <v>12297318</v>
      </c>
      <c r="I174" t="s">
        <v>25</v>
      </c>
      <c r="P174" s="112"/>
      <c r="Q174" s="112"/>
      <c r="R174" s="97" t="s">
        <v>6937</v>
      </c>
      <c r="S174" s="93">
        <f>-(10*P53+8479*P48)</f>
        <v>-25092609</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795</v>
      </c>
      <c r="AN174" s="115">
        <f t="shared" si="73"/>
        <v>1987500000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793</v>
      </c>
      <c r="AN175" s="244">
        <f t="shared" si="73"/>
        <v>-39650000000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786</v>
      </c>
      <c r="AN176" s="115">
        <f t="shared" si="73"/>
        <v>7860000000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774</v>
      </c>
      <c r="AN177" s="115">
        <f t="shared" si="73"/>
        <v>-12589884000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t="s">
        <v>4416</v>
      </c>
      <c r="S180" s="93">
        <f>SUM(S165:S179)</f>
        <v>11171160646</v>
      </c>
      <c r="U180" s="166" t="s">
        <v>4559</v>
      </c>
      <c r="V180" s="166">
        <v>79720</v>
      </c>
      <c r="W180" s="111">
        <v>246.6568</v>
      </c>
      <c r="X180" s="111">
        <f t="shared" si="76"/>
        <v>19663480.096000001</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740</v>
      </c>
      <c r="AN183" s="115">
        <f t="shared" ref="AN183:AN190" si="78">AK183*AM183</f>
        <v>-231322520</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740</v>
      </c>
      <c r="AN184" s="115">
        <f t="shared" si="78"/>
        <v>37000000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734</v>
      </c>
      <c r="AN185" s="115">
        <f t="shared" si="78"/>
        <v>-146800000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734</v>
      </c>
      <c r="AN186" s="115">
        <f t="shared" si="78"/>
        <v>146800000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731</v>
      </c>
      <c r="AN187" s="115">
        <f t="shared" si="78"/>
        <v>146200000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728</v>
      </c>
      <c r="AN188" s="115">
        <f t="shared" si="78"/>
        <v>21840000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721</v>
      </c>
      <c r="AN189" s="115">
        <f t="shared" si="78"/>
        <v>-7210000000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721</v>
      </c>
      <c r="AN190" s="115">
        <f t="shared" si="78"/>
        <v>4326000000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703</v>
      </c>
      <c r="AN195" s="115">
        <f t="shared" ref="AN195:AN203" si="80">AK195*AM195</f>
        <v>-281200000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697</v>
      </c>
      <c r="AN196" s="115">
        <f t="shared" si="80"/>
        <v>906100000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697</v>
      </c>
      <c r="AN197" s="115">
        <f t="shared" si="80"/>
        <v>160310000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696</v>
      </c>
      <c r="AN198" s="115">
        <f t="shared" si="80"/>
        <v>612480000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692</v>
      </c>
      <c r="AN199" s="115">
        <f t="shared" si="80"/>
        <v>-622800000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691</v>
      </c>
      <c r="AN200" s="115">
        <f t="shared" si="80"/>
        <v>-2418500000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690</v>
      </c>
      <c r="AN201" s="115">
        <f t="shared" si="80"/>
        <v>-1104000000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689</v>
      </c>
      <c r="AN202" s="115">
        <f t="shared" si="80"/>
        <v>-551200000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682</v>
      </c>
      <c r="AN203" s="115">
        <f t="shared" si="80"/>
        <v>34100000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680</v>
      </c>
      <c r="AN204" s="115">
        <f t="shared" ref="AN204:AN213" si="82">AK204*AM204</f>
        <v>272000000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672</v>
      </c>
      <c r="AN205" s="115">
        <f t="shared" si="82"/>
        <v>-6720000000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672</v>
      </c>
      <c r="AN206" s="115">
        <f t="shared" si="82"/>
        <v>2016000000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671</v>
      </c>
      <c r="AN207" s="115">
        <f t="shared" si="82"/>
        <v>335500000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648</v>
      </c>
      <c r="AN208" s="115">
        <f t="shared" si="82"/>
        <v>65621664</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647</v>
      </c>
      <c r="AN209" s="115">
        <f t="shared" si="82"/>
        <v>65347000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613</v>
      </c>
      <c r="AN210" s="115">
        <f t="shared" si="82"/>
        <v>-299513026</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608</v>
      </c>
      <c r="AN211" s="115">
        <f t="shared" si="82"/>
        <v>218880000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598</v>
      </c>
      <c r="AN212" s="115">
        <f t="shared" si="82"/>
        <v>-2152800000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6640</v>
      </c>
      <c r="AI213" s="97">
        <v>193</v>
      </c>
      <c r="AJ213" s="111" t="s">
        <v>5231</v>
      </c>
      <c r="AK213" s="111">
        <v>-1000000</v>
      </c>
      <c r="AL213" s="97">
        <v>5</v>
      </c>
      <c r="AM213" s="20">
        <f t="shared" si="81"/>
        <v>594</v>
      </c>
      <c r="AN213" s="115">
        <f t="shared" si="82"/>
        <v>-594000000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589</v>
      </c>
      <c r="AN214" s="115">
        <f t="shared" ref="AN214:AN274" si="84">AK214*AM214</f>
        <v>212040000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587</v>
      </c>
      <c r="AN215" s="115">
        <f t="shared" si="84"/>
        <v>1174000000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586</v>
      </c>
      <c r="AN216" s="115">
        <f t="shared" si="84"/>
        <v>11720000000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586</v>
      </c>
      <c r="AN217" s="115">
        <f t="shared" si="84"/>
        <v>-2754200000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585</v>
      </c>
      <c r="AN218" s="115">
        <f t="shared" si="84"/>
        <v>1755000000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581</v>
      </c>
      <c r="AN219" s="115">
        <f t="shared" si="84"/>
        <v>871500000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580</v>
      </c>
      <c r="AN220" s="115">
        <f t="shared" si="84"/>
        <v>17400000000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547</v>
      </c>
      <c r="AN221" s="115">
        <f t="shared" si="84"/>
        <v>1641000000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546</v>
      </c>
      <c r="AN222" s="115">
        <f t="shared" si="84"/>
        <v>3822000000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542</v>
      </c>
      <c r="AN223" s="115">
        <f t="shared" si="84"/>
        <v>4769600000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540</v>
      </c>
      <c r="AN224" s="115">
        <f t="shared" si="84"/>
        <v>21600000000</v>
      </c>
      <c r="AO224" s="20" t="s">
        <v>4673</v>
      </c>
    </row>
    <row r="225" spans="4:46">
      <c r="G225" s="206" t="s">
        <v>5660</v>
      </c>
      <c r="H225" s="111">
        <v>17450393.011856001</v>
      </c>
      <c r="P225" s="112"/>
      <c r="Q225" s="112"/>
      <c r="R225" s="187" t="s">
        <v>5372</v>
      </c>
      <c r="S225" s="187" t="s">
        <v>6492</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532</v>
      </c>
      <c r="AN225" s="115">
        <f t="shared" si="84"/>
        <v>212800000</v>
      </c>
      <c r="AO225" s="20"/>
      <c r="AS225" t="s">
        <v>25</v>
      </c>
    </row>
    <row r="226" spans="4:46">
      <c r="F226" s="94"/>
      <c r="G226" s="206" t="s">
        <v>5661</v>
      </c>
      <c r="H226" s="111">
        <v>31388943.254850004</v>
      </c>
      <c r="J226" t="s">
        <v>25</v>
      </c>
      <c r="P226" s="112"/>
      <c r="Q226" s="112"/>
      <c r="R226" s="187" t="s">
        <v>6600</v>
      </c>
      <c r="S226" s="187" t="s">
        <v>6596</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515</v>
      </c>
      <c r="AN226" s="115">
        <f t="shared" si="84"/>
        <v>-10300000000</v>
      </c>
      <c r="AO226" s="20" t="s">
        <v>4961</v>
      </c>
    </row>
    <row r="227" spans="4:46">
      <c r="D227" s="94"/>
      <c r="E227" s="94"/>
      <c r="F227" s="94"/>
      <c r="G227" s="206" t="s">
        <v>5662</v>
      </c>
      <c r="H227" s="111">
        <v>30912095.373174001</v>
      </c>
      <c r="R227" s="19" t="s">
        <v>6628</v>
      </c>
      <c r="S227" s="19" t="s">
        <v>6627</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497</v>
      </c>
      <c r="AN227" s="115">
        <f t="shared" si="84"/>
        <v>1493982000</v>
      </c>
      <c r="AO227" s="20"/>
    </row>
    <row r="228" spans="4:46">
      <c r="D228" s="94"/>
      <c r="E228" s="94"/>
      <c r="F228" s="94"/>
      <c r="G228" s="206" t="s">
        <v>5664</v>
      </c>
      <c r="H228" s="111">
        <v>19602926.115093999</v>
      </c>
      <c r="K228" t="s">
        <v>25</v>
      </c>
      <c r="R228" s="187" t="s">
        <v>7072</v>
      </c>
      <c r="S228" s="187" t="s">
        <v>7069</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478</v>
      </c>
      <c r="AN228" s="115">
        <f t="shared" si="84"/>
        <v>-62323037672</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478</v>
      </c>
      <c r="AN229" s="115">
        <f t="shared" si="84"/>
        <v>59750000000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477</v>
      </c>
      <c r="AN230" s="115">
        <f t="shared" si="84"/>
        <v>3434400000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462</v>
      </c>
      <c r="AN231" s="115">
        <f t="shared" si="84"/>
        <v>947100000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455</v>
      </c>
      <c r="AN232" s="115">
        <f t="shared" si="84"/>
        <v>22750000000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431</v>
      </c>
      <c r="AN233" s="115">
        <f t="shared" si="84"/>
        <v>-25082734600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409</v>
      </c>
      <c r="AN234" s="115">
        <f t="shared" si="84"/>
        <v>10225000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401</v>
      </c>
      <c r="AN235" s="115">
        <f t="shared" si="84"/>
        <v>28070000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395</v>
      </c>
      <c r="AN236" s="115">
        <f t="shared" si="84"/>
        <v>27650000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394</v>
      </c>
      <c r="AN237" s="115">
        <f t="shared" si="84"/>
        <v>59100000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394</v>
      </c>
      <c r="AN238" s="115">
        <f t="shared" si="84"/>
        <v>-37666183300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387</v>
      </c>
      <c r="AN239" s="115">
        <f t="shared" si="84"/>
        <v>77400000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380</v>
      </c>
      <c r="AN240" s="115">
        <f t="shared" si="84"/>
        <v>57000000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375</v>
      </c>
      <c r="AN241" s="115">
        <f t="shared" si="84"/>
        <v>116250000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344</v>
      </c>
      <c r="AN242" s="115">
        <f t="shared" si="84"/>
        <v>1444800000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291</v>
      </c>
      <c r="AN243" s="115">
        <f t="shared" si="84"/>
        <v>75660000000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269</v>
      </c>
      <c r="AN244" s="115">
        <f t="shared" si="84"/>
        <v>5380000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262</v>
      </c>
      <c r="AN245" s="115">
        <f t="shared" si="84"/>
        <v>18340000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261</v>
      </c>
      <c r="AN246" s="115">
        <f t="shared" si="84"/>
        <v>86130000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260</v>
      </c>
      <c r="AN247" s="115">
        <f t="shared" si="84"/>
        <v>8796599500</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242</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232</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231</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231</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230</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230</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229</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229</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226</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225</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220</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219</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6448</v>
      </c>
      <c r="AK260" s="111">
        <v>50000000</v>
      </c>
      <c r="AL260" s="97">
        <v>10</v>
      </c>
      <c r="AM260" s="20">
        <f t="shared" si="83"/>
        <v>176</v>
      </c>
      <c r="AN260" s="115"/>
      <c r="AO260" s="261" t="s">
        <v>6449</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6450</v>
      </c>
      <c r="AK261" s="111">
        <v>8200000</v>
      </c>
      <c r="AL261" s="97">
        <v>29</v>
      </c>
      <c r="AM261" s="20">
        <f t="shared" si="83"/>
        <v>166</v>
      </c>
      <c r="AN261" s="115"/>
      <c r="AO261" s="261" t="s">
        <v>6449</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6486</v>
      </c>
      <c r="AK262" s="111">
        <v>-180000000</v>
      </c>
      <c r="AL262" s="97">
        <v>16</v>
      </c>
      <c r="AM262" s="20">
        <f t="shared" si="83"/>
        <v>137</v>
      </c>
      <c r="AN262" s="115"/>
      <c r="AO262" s="261" t="s">
        <v>6490</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6596</v>
      </c>
      <c r="AK263" s="111">
        <v>60000000</v>
      </c>
      <c r="AL263" s="97">
        <v>6</v>
      </c>
      <c r="AM263" s="20">
        <f t="shared" si="83"/>
        <v>121</v>
      </c>
      <c r="AN263" s="115"/>
      <c r="AO263" s="261" t="s">
        <v>6597</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6605</v>
      </c>
      <c r="AK264" s="111">
        <v>5000</v>
      </c>
      <c r="AL264" s="97">
        <v>8</v>
      </c>
      <c r="AM264" s="20">
        <f t="shared" si="83"/>
        <v>115</v>
      </c>
      <c r="AN264" s="115"/>
      <c r="AO264" s="261" t="s">
        <v>6449</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6612</v>
      </c>
      <c r="AK265" s="111">
        <v>102750000</v>
      </c>
      <c r="AL265" s="97">
        <v>5</v>
      </c>
      <c r="AM265" s="20">
        <f t="shared" si="83"/>
        <v>107</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6619</v>
      </c>
      <c r="AK266" s="111">
        <v>-60000000</v>
      </c>
      <c r="AL266" s="97">
        <v>42</v>
      </c>
      <c r="AM266" s="20">
        <f t="shared" si="83"/>
        <v>102</v>
      </c>
      <c r="AN266" s="115"/>
      <c r="AO266" s="261" t="s">
        <v>6625</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6941</v>
      </c>
      <c r="AK267" s="111">
        <v>50000</v>
      </c>
      <c r="AL267" s="97">
        <v>59</v>
      </c>
      <c r="AM267" s="20">
        <f t="shared" si="83"/>
        <v>60</v>
      </c>
      <c r="AN267" s="115"/>
      <c r="AO267" s="261" t="s">
        <v>6449</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v>248</v>
      </c>
      <c r="AJ268" s="111" t="s">
        <v>7093</v>
      </c>
      <c r="AK268" s="111">
        <v>300000</v>
      </c>
      <c r="AL268" s="97">
        <v>1</v>
      </c>
      <c r="AM268" s="20">
        <f t="shared" si="83"/>
        <v>1</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469785949.06156397</v>
      </c>
      <c r="AL275" s="97"/>
      <c r="AM275" s="97">
        <v>0</v>
      </c>
      <c r="AN275" s="93">
        <f>SUM(AN20:AN274)</f>
        <v>606138171536</v>
      </c>
      <c r="AO275" s="93">
        <f>AN275*AO278/31</f>
        <v>325887254.99969399</v>
      </c>
    </row>
    <row r="276" spans="7:41" ht="30">
      <c r="G276" s="206" t="s">
        <v>6451</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6459</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6462</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6470</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6474</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795673204.06125796</v>
      </c>
      <c r="AL280" s="97"/>
      <c r="AM280" s="97"/>
      <c r="AN280" s="97"/>
      <c r="AO280" s="97"/>
    </row>
    <row r="281" spans="7:41">
      <c r="G281" s="206" t="s">
        <v>6476</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6746368242</v>
      </c>
      <c r="AN281" t="s">
        <v>25</v>
      </c>
    </row>
    <row r="282" spans="7:41">
      <c r="G282" s="206" t="s">
        <v>6478</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6276582292.9384365</v>
      </c>
      <c r="AN282" t="s">
        <v>25</v>
      </c>
    </row>
    <row r="283" spans="7:41">
      <c r="G283" s="206" t="s">
        <v>6486</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325887254.99969399</v>
      </c>
      <c r="AO283" t="s">
        <v>25</v>
      </c>
    </row>
    <row r="284" spans="7:41">
      <c r="G284" s="206" t="s">
        <v>6492</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5950695037.9387417</v>
      </c>
      <c r="AO284" t="s">
        <v>25</v>
      </c>
    </row>
    <row r="285" spans="7:41">
      <c r="G285" s="206" t="s">
        <v>6584</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6595</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6596</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6602</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6604</v>
      </c>
      <c r="H289" s="77">
        <v>435036.348168</v>
      </c>
      <c r="R289" s="97" t="s">
        <v>5606</v>
      </c>
      <c r="S289" s="93">
        <v>1500000</v>
      </c>
      <c r="T289" t="s">
        <v>25</v>
      </c>
      <c r="U289" s="206" t="s">
        <v>4253</v>
      </c>
      <c r="V289" s="206">
        <v>71</v>
      </c>
      <c r="W289" s="111">
        <v>482.57</v>
      </c>
      <c r="X289" s="111">
        <f t="shared" si="85"/>
        <v>34262.47</v>
      </c>
      <c r="Y289" s="36" t="s">
        <v>5103</v>
      </c>
    </row>
    <row r="290" spans="7:45">
      <c r="G290" s="206" t="s">
        <v>6645</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6928</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6934</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6936</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6946</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6967</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6969</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6971</v>
      </c>
      <c r="H297" s="111">
        <v>974570.33942399989</v>
      </c>
      <c r="R297" s="97" t="s">
        <v>6492</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6973</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6983</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7000</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7001</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7004</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7010</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6423</v>
      </c>
      <c r="V477" s="187">
        <v>-10637</v>
      </c>
      <c r="W477" s="186">
        <v>1739.5916549999999</v>
      </c>
      <c r="X477" s="186">
        <f t="shared" si="101"/>
        <v>-18504036.434234999</v>
      </c>
      <c r="Y477" s="260" t="s">
        <v>6426</v>
      </c>
      <c r="Z477" t="s">
        <v>25</v>
      </c>
      <c r="AB477" t="s">
        <v>25</v>
      </c>
      <c r="AI477" s="147">
        <v>204</v>
      </c>
      <c r="AJ477" s="147" t="s">
        <v>6423</v>
      </c>
      <c r="AK477" s="186">
        <v>-20000000</v>
      </c>
      <c r="AL477" s="147">
        <v>0</v>
      </c>
      <c r="AM477" s="147">
        <f t="shared" ref="AM477:AM483" si="122">AL477+AM478</f>
        <v>111</v>
      </c>
      <c r="AN477" s="147">
        <f t="shared" ref="AN477:AN483" si="123">AK477*AM477</f>
        <v>-2220000000</v>
      </c>
      <c r="AO477" s="147" t="s">
        <v>6424</v>
      </c>
    </row>
    <row r="478" spans="18:46">
      <c r="R478" s="97" t="s">
        <v>5710</v>
      </c>
      <c r="S478" s="93">
        <v>219696.613128</v>
      </c>
      <c r="U478" s="19" t="s">
        <v>6423</v>
      </c>
      <c r="V478" s="19">
        <v>10637</v>
      </c>
      <c r="W478" s="115">
        <v>1739.5916549999999</v>
      </c>
      <c r="X478" s="115">
        <f t="shared" si="101"/>
        <v>18504036.434234999</v>
      </c>
      <c r="Y478" s="261" t="s">
        <v>6427</v>
      </c>
      <c r="AB478" t="s">
        <v>25</v>
      </c>
      <c r="AI478" s="147">
        <v>205</v>
      </c>
      <c r="AJ478" s="147" t="s">
        <v>6423</v>
      </c>
      <c r="AK478" s="186">
        <v>2000000</v>
      </c>
      <c r="AL478" s="147">
        <v>110</v>
      </c>
      <c r="AM478" s="147">
        <f t="shared" si="122"/>
        <v>111</v>
      </c>
      <c r="AN478" s="147">
        <f t="shared" si="123"/>
        <v>222000000</v>
      </c>
      <c r="AO478" s="147" t="s">
        <v>6425</v>
      </c>
      <c r="AT478" t="s">
        <v>25</v>
      </c>
    </row>
    <row r="479" spans="18:46" ht="30">
      <c r="R479" s="97" t="s">
        <v>5711</v>
      </c>
      <c r="S479" s="93">
        <v>6035472.4070199998</v>
      </c>
      <c r="U479" s="19" t="s">
        <v>6451</v>
      </c>
      <c r="V479" s="19">
        <v>39478</v>
      </c>
      <c r="W479" s="115">
        <v>1873.903047</v>
      </c>
      <c r="X479" s="115">
        <f t="shared" si="101"/>
        <v>73977944.489465997</v>
      </c>
      <c r="Y479" s="261" t="s">
        <v>6452</v>
      </c>
      <c r="AI479" s="147">
        <v>206</v>
      </c>
      <c r="AJ479" s="147" t="s">
        <v>6645</v>
      </c>
      <c r="AK479" s="186">
        <v>5082711</v>
      </c>
      <c r="AL479" s="147">
        <v>1</v>
      </c>
      <c r="AM479" s="147">
        <f t="shared" si="122"/>
        <v>1</v>
      </c>
      <c r="AN479" s="147">
        <f t="shared" si="123"/>
        <v>5082711</v>
      </c>
      <c r="AO479" s="147" t="s">
        <v>6646</v>
      </c>
    </row>
    <row r="480" spans="18:46">
      <c r="R480" s="97" t="s">
        <v>5712</v>
      </c>
      <c r="S480" s="93">
        <v>984486.34963200008</v>
      </c>
      <c r="U480" s="19" t="s">
        <v>6456</v>
      </c>
      <c r="V480" s="19">
        <v>283</v>
      </c>
      <c r="W480" s="115">
        <v>2014.7222959999999</v>
      </c>
      <c r="X480" s="115">
        <f t="shared" si="101"/>
        <v>570166.40976800001</v>
      </c>
      <c r="Y480" s="261" t="s">
        <v>6457</v>
      </c>
      <c r="Z480" t="s">
        <v>25</v>
      </c>
      <c r="AB480" t="s">
        <v>25</v>
      </c>
      <c r="AI480" s="147"/>
      <c r="AJ480" s="147"/>
      <c r="AK480" s="186"/>
      <c r="AL480" s="147"/>
      <c r="AM480" s="147">
        <f t="shared" si="122"/>
        <v>0</v>
      </c>
      <c r="AN480" s="147">
        <f t="shared" si="123"/>
        <v>0</v>
      </c>
      <c r="AO480" s="147"/>
    </row>
    <row r="481" spans="18:46">
      <c r="R481" s="97" t="s">
        <v>5722</v>
      </c>
      <c r="S481" s="93">
        <v>2143469.938015</v>
      </c>
      <c r="U481" s="19" t="s">
        <v>6459</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6462</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6470</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6474</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6476</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6478</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6486</v>
      </c>
      <c r="V487" s="19">
        <v>-76536</v>
      </c>
      <c r="W487" s="115">
        <v>2350.6086869999999</v>
      </c>
      <c r="X487" s="115">
        <f t="shared" si="101"/>
        <v>-179906186.46823201</v>
      </c>
      <c r="Y487" s="261" t="s">
        <v>6489</v>
      </c>
      <c r="AI487" s="97"/>
      <c r="AJ487" s="97"/>
      <c r="AK487" s="115"/>
      <c r="AL487" s="97"/>
      <c r="AM487" s="20">
        <f t="shared" si="120"/>
        <v>0</v>
      </c>
      <c r="AN487" s="20">
        <f t="shared" si="121"/>
        <v>0</v>
      </c>
      <c r="AO487" s="20"/>
    </row>
    <row r="488" spans="18:46">
      <c r="R488" s="97" t="s">
        <v>5749</v>
      </c>
      <c r="S488" s="93">
        <v>327451.9203</v>
      </c>
      <c r="U488" s="19" t="s">
        <v>6492</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6492</v>
      </c>
      <c r="V489" s="187">
        <v>55</v>
      </c>
      <c r="W489" s="186">
        <v>2379.7882030000001</v>
      </c>
      <c r="X489" s="186">
        <f t="shared" si="101"/>
        <v>130888.351165</v>
      </c>
      <c r="Y489" s="260" t="s">
        <v>6578</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6492</v>
      </c>
      <c r="V490" s="19">
        <v>53</v>
      </c>
      <c r="W490" s="115">
        <v>2379.7882030000001</v>
      </c>
      <c r="X490" s="115">
        <f t="shared" si="101"/>
        <v>126128.77475900001</v>
      </c>
      <c r="Y490" s="261" t="s">
        <v>6579</v>
      </c>
      <c r="AA490" t="s">
        <v>25</v>
      </c>
      <c r="AC490" t="s">
        <v>25</v>
      </c>
      <c r="AK490" t="s">
        <v>4041</v>
      </c>
      <c r="AN490" t="s">
        <v>284</v>
      </c>
      <c r="AO490" t="s">
        <v>926</v>
      </c>
    </row>
    <row r="491" spans="18:46">
      <c r="R491" s="97" t="s">
        <v>5759</v>
      </c>
      <c r="S491" s="93">
        <v>37723205.094084002</v>
      </c>
      <c r="U491" s="19" t="s">
        <v>6584</v>
      </c>
      <c r="V491" s="19">
        <v>243</v>
      </c>
      <c r="W491" s="115">
        <v>2336.5653440000001</v>
      </c>
      <c r="X491" s="115">
        <f t="shared" si="101"/>
        <v>567785.37859199999</v>
      </c>
      <c r="Y491" s="261" t="s">
        <v>5103</v>
      </c>
      <c r="AT491" t="s">
        <v>25</v>
      </c>
    </row>
    <row r="492" spans="18:46">
      <c r="R492" s="97" t="s">
        <v>5760</v>
      </c>
      <c r="S492" s="93">
        <v>1500094.75168</v>
      </c>
      <c r="U492" s="19" t="s">
        <v>6595</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6596</v>
      </c>
      <c r="V493" s="187">
        <v>21767</v>
      </c>
      <c r="W493" s="186">
        <v>2297.060872</v>
      </c>
      <c r="X493" s="186">
        <f t="shared" si="101"/>
        <v>50000124.000823997</v>
      </c>
      <c r="Y493" s="260" t="s">
        <v>6598</v>
      </c>
      <c r="AJ493" t="s">
        <v>4046</v>
      </c>
      <c r="AK493" s="112">
        <f>SUM(N20:N33)</f>
        <v>4450047097</v>
      </c>
    </row>
    <row r="494" spans="18:46">
      <c r="R494" s="97" t="s">
        <v>5763</v>
      </c>
      <c r="S494" s="93">
        <v>29767389.390390001</v>
      </c>
      <c r="U494" s="19" t="s">
        <v>6596</v>
      </c>
      <c r="V494" s="19">
        <v>4353</v>
      </c>
      <c r="W494" s="115">
        <v>2297.060872</v>
      </c>
      <c r="X494" s="115">
        <f t="shared" si="101"/>
        <v>9999105.9758160003</v>
      </c>
      <c r="Y494" s="261" t="s">
        <v>6599</v>
      </c>
      <c r="AA494" t="s">
        <v>25</v>
      </c>
      <c r="AJ494" t="s">
        <v>4116</v>
      </c>
      <c r="AK494" s="112">
        <f>AK493-AK489</f>
        <v>4243171709.151772</v>
      </c>
    </row>
    <row r="495" spans="18:46">
      <c r="R495" s="97" t="s">
        <v>5765</v>
      </c>
      <c r="S495" s="93">
        <v>151560.25597</v>
      </c>
      <c r="U495" s="19" t="s">
        <v>6596</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6602</v>
      </c>
      <c r="V496" s="19">
        <v>1416</v>
      </c>
      <c r="W496" s="115">
        <v>2405.6595360000001</v>
      </c>
      <c r="X496" s="115">
        <f t="shared" si="101"/>
        <v>3406413.9029760002</v>
      </c>
      <c r="Y496" s="261" t="s">
        <v>5103</v>
      </c>
      <c r="AA496" t="s">
        <v>25</v>
      </c>
      <c r="AC496" t="s">
        <v>25</v>
      </c>
      <c r="AJ496" t="s">
        <v>4047</v>
      </c>
      <c r="AK496" s="112">
        <f>AK494-AK495</f>
        <v>4125459966.2381911</v>
      </c>
      <c r="AN496" t="s">
        <v>25</v>
      </c>
      <c r="AO496" t="s">
        <v>25</v>
      </c>
    </row>
    <row r="497" spans="18:41">
      <c r="R497" s="97" t="s">
        <v>5780</v>
      </c>
      <c r="S497" s="93">
        <v>146277.56820000001</v>
      </c>
      <c r="U497" s="19" t="s">
        <v>6604</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6614</v>
      </c>
      <c r="V498" s="19">
        <v>-3909</v>
      </c>
      <c r="W498" s="115">
        <v>2881.8852230000002</v>
      </c>
      <c r="X498" s="115">
        <f>V498*W498</f>
        <v>-11265289.336707002</v>
      </c>
      <c r="Y498" s="261" t="s">
        <v>6615</v>
      </c>
    </row>
    <row r="499" spans="18:41">
      <c r="R499" s="97" t="s">
        <v>5785</v>
      </c>
      <c r="S499" s="93">
        <v>558320.40202399995</v>
      </c>
      <c r="U499" s="187" t="s">
        <v>6614</v>
      </c>
      <c r="V499" s="187">
        <v>-932</v>
      </c>
      <c r="W499" s="186">
        <v>2881.8852230000002</v>
      </c>
      <c r="X499" s="186">
        <f t="shared" si="101"/>
        <v>-2685917.0278360001</v>
      </c>
      <c r="Y499" s="260" t="s">
        <v>6616</v>
      </c>
      <c r="AB499" t="s">
        <v>25</v>
      </c>
      <c r="AC499" t="s">
        <v>25</v>
      </c>
    </row>
    <row r="500" spans="18:41">
      <c r="R500" s="97" t="s">
        <v>5807</v>
      </c>
      <c r="S500" s="93">
        <v>207642.22201140001</v>
      </c>
      <c r="U500" s="19" t="s">
        <v>6626</v>
      </c>
      <c r="V500" s="19">
        <v>33</v>
      </c>
      <c r="W500" s="115">
        <v>2905.0202519999998</v>
      </c>
      <c r="X500" s="115">
        <f t="shared" si="101"/>
        <v>95865.668315999996</v>
      </c>
      <c r="Y500" s="261" t="s">
        <v>4406</v>
      </c>
      <c r="AO500" t="s">
        <v>25</v>
      </c>
    </row>
    <row r="501" spans="18:41">
      <c r="R501" s="97" t="s">
        <v>5807</v>
      </c>
      <c r="S501" s="93">
        <v>33832510.64875</v>
      </c>
      <c r="U501" s="187" t="s">
        <v>6645</v>
      </c>
      <c r="V501" s="187">
        <v>10421</v>
      </c>
      <c r="W501" s="186">
        <v>2780.2819920000002</v>
      </c>
      <c r="X501" s="186">
        <f t="shared" si="101"/>
        <v>28973318.638632003</v>
      </c>
      <c r="Y501" s="260" t="s">
        <v>6647</v>
      </c>
      <c r="AC501" t="s">
        <v>25</v>
      </c>
      <c r="AO501" t="s">
        <v>25</v>
      </c>
    </row>
    <row r="502" spans="18:41">
      <c r="R502" s="97" t="s">
        <v>5818</v>
      </c>
      <c r="S502" s="93">
        <v>637977.33504399995</v>
      </c>
      <c r="U502" s="19" t="s">
        <v>6645</v>
      </c>
      <c r="V502" s="19">
        <v>835</v>
      </c>
      <c r="W502" s="115">
        <v>2780.2819920000002</v>
      </c>
      <c r="X502" s="115">
        <f t="shared" si="101"/>
        <v>2321535.4633200001</v>
      </c>
      <c r="Y502" s="261" t="s">
        <v>5103</v>
      </c>
    </row>
    <row r="503" spans="18:41">
      <c r="R503" s="97" t="s">
        <v>5819</v>
      </c>
      <c r="S503" s="93">
        <v>466552.25632400002</v>
      </c>
      <c r="U503" s="19" t="s">
        <v>6928</v>
      </c>
      <c r="V503" s="19">
        <v>410</v>
      </c>
      <c r="W503" s="115">
        <v>2678.4068379999999</v>
      </c>
      <c r="X503" s="115">
        <f t="shared" si="101"/>
        <v>1098146.8035800001</v>
      </c>
      <c r="Y503" s="261" t="s">
        <v>5103</v>
      </c>
    </row>
    <row r="504" spans="18:41">
      <c r="R504" s="97" t="s">
        <v>5820</v>
      </c>
      <c r="S504" s="93">
        <v>149316.98805000001</v>
      </c>
      <c r="U504" s="19" t="s">
        <v>6934</v>
      </c>
      <c r="V504" s="19">
        <v>201</v>
      </c>
      <c r="W504" s="115">
        <v>2688.6794049999999</v>
      </c>
      <c r="X504" s="115">
        <f t="shared" si="101"/>
        <v>540424.560405</v>
      </c>
      <c r="Y504" s="261" t="s">
        <v>5103</v>
      </c>
      <c r="AA504" t="s">
        <v>25</v>
      </c>
    </row>
    <row r="505" spans="18:41">
      <c r="R505" s="97" t="s">
        <v>5820</v>
      </c>
      <c r="S505" s="93">
        <v>189134.85153000001</v>
      </c>
      <c r="U505" s="19" t="s">
        <v>6936</v>
      </c>
      <c r="V505" s="19">
        <v>1133</v>
      </c>
      <c r="W505" s="115">
        <v>2455.1740869999999</v>
      </c>
      <c r="X505" s="115">
        <f t="shared" si="101"/>
        <v>2781712.2405709997</v>
      </c>
      <c r="Y505" s="261" t="s">
        <v>5103</v>
      </c>
      <c r="AA505" t="s">
        <v>25</v>
      </c>
      <c r="AB505" t="s">
        <v>25</v>
      </c>
    </row>
    <row r="506" spans="18:41" ht="30">
      <c r="R506" s="97" t="s">
        <v>5822</v>
      </c>
      <c r="S506" s="93">
        <v>564888.82799599995</v>
      </c>
      <c r="U506" s="19" t="s">
        <v>6941</v>
      </c>
      <c r="V506" s="19">
        <v>59</v>
      </c>
      <c r="W506" s="115">
        <v>2706.4553110000002</v>
      </c>
      <c r="X506" s="115">
        <f t="shared" si="101"/>
        <v>159680.86334900002</v>
      </c>
      <c r="Y506" s="261" t="s">
        <v>6942</v>
      </c>
      <c r="Z506" t="s">
        <v>25</v>
      </c>
      <c r="AA506" t="s">
        <v>25</v>
      </c>
      <c r="AB506" t="s">
        <v>25</v>
      </c>
    </row>
    <row r="507" spans="18:41">
      <c r="R507" s="97" t="s">
        <v>5825</v>
      </c>
      <c r="S507" s="93">
        <v>8762299.2047910001</v>
      </c>
      <c r="U507" s="19" t="s">
        <v>6967</v>
      </c>
      <c r="V507" s="19">
        <v>4795</v>
      </c>
      <c r="W507" s="115">
        <v>2908.4025580000002</v>
      </c>
      <c r="X507" s="115">
        <f t="shared" si="101"/>
        <v>13945790.265610002</v>
      </c>
      <c r="Y507" s="261" t="s">
        <v>5344</v>
      </c>
    </row>
    <row r="508" spans="18:41">
      <c r="R508" s="97" t="s">
        <v>5825</v>
      </c>
      <c r="S508" s="93">
        <v>-341847876.93843603</v>
      </c>
      <c r="U508" s="19" t="s">
        <v>6969</v>
      </c>
      <c r="V508" s="19">
        <v>164</v>
      </c>
      <c r="W508" s="115">
        <v>2792.1636870000002</v>
      </c>
      <c r="X508" s="115">
        <f t="shared" si="101"/>
        <v>457914.84466800001</v>
      </c>
      <c r="Y508" s="261" t="s">
        <v>5344</v>
      </c>
    </row>
    <row r="509" spans="18:41">
      <c r="R509" s="97" t="s">
        <v>5857</v>
      </c>
      <c r="S509" s="93">
        <v>259993.58394100002</v>
      </c>
      <c r="U509" s="19" t="s">
        <v>6971</v>
      </c>
      <c r="V509" s="19">
        <v>352</v>
      </c>
      <c r="W509" s="115">
        <v>2768.6657369999998</v>
      </c>
      <c r="X509" s="115">
        <f t="shared" si="101"/>
        <v>974570.33942399989</v>
      </c>
      <c r="Y509" s="261" t="s">
        <v>5344</v>
      </c>
    </row>
    <row r="510" spans="18:41">
      <c r="R510" s="97" t="s">
        <v>5858</v>
      </c>
      <c r="S510" s="93">
        <v>269955.31205999997</v>
      </c>
      <c r="U510" s="19" t="s">
        <v>6973</v>
      </c>
      <c r="V510" s="19">
        <v>283</v>
      </c>
      <c r="W510" s="115">
        <v>2636.7439079999999</v>
      </c>
      <c r="X510" s="115">
        <f t="shared" si="101"/>
        <v>746198.52596400003</v>
      </c>
      <c r="Y510" s="261" t="s">
        <v>5344</v>
      </c>
      <c r="Z510" t="s">
        <v>25</v>
      </c>
    </row>
    <row r="511" spans="18:41">
      <c r="R511" s="97" t="s">
        <v>6399</v>
      </c>
      <c r="S511" s="93">
        <v>560534.38387200003</v>
      </c>
      <c r="U511" s="19" t="s">
        <v>6983</v>
      </c>
      <c r="V511" s="19">
        <v>154</v>
      </c>
      <c r="W511" s="115">
        <v>2702</v>
      </c>
      <c r="X511" s="115">
        <f t="shared" si="101"/>
        <v>416108</v>
      </c>
      <c r="Y511" s="261" t="s">
        <v>5344</v>
      </c>
      <c r="Z511" t="s">
        <v>25</v>
      </c>
      <c r="AA511" t="s">
        <v>25</v>
      </c>
    </row>
    <row r="512" spans="18:41">
      <c r="R512" s="97" t="s">
        <v>6401</v>
      </c>
      <c r="S512" s="93">
        <v>581484.96802499995</v>
      </c>
      <c r="U512" s="19" t="s">
        <v>7000</v>
      </c>
      <c r="V512" s="19">
        <v>135</v>
      </c>
      <c r="W512" s="115">
        <v>2678.6709300000002</v>
      </c>
      <c r="X512" s="115">
        <f t="shared" si="101"/>
        <v>361620.57555000001</v>
      </c>
      <c r="Y512" s="261" t="s">
        <v>5344</v>
      </c>
      <c r="AA512" t="s">
        <v>25</v>
      </c>
    </row>
    <row r="513" spans="15:28">
      <c r="P513" t="s">
        <v>25</v>
      </c>
      <c r="R513" s="97" t="s">
        <v>6403</v>
      </c>
      <c r="S513" s="93">
        <v>2136964.3409779998</v>
      </c>
      <c r="U513" s="19" t="s">
        <v>7001</v>
      </c>
      <c r="V513" s="19">
        <v>291</v>
      </c>
      <c r="W513" s="115">
        <v>2616.1873500000002</v>
      </c>
      <c r="X513" s="115">
        <f t="shared" si="101"/>
        <v>761310.51884999999</v>
      </c>
      <c r="Y513" s="261" t="s">
        <v>5344</v>
      </c>
      <c r="AA513" t="s">
        <v>25</v>
      </c>
    </row>
    <row r="514" spans="15:28">
      <c r="R514" s="97" t="s">
        <v>6406</v>
      </c>
      <c r="S514" s="93">
        <v>593783.22629999998</v>
      </c>
      <c r="U514" s="19" t="s">
        <v>7004</v>
      </c>
      <c r="V514" s="19">
        <v>1194</v>
      </c>
      <c r="W514" s="115">
        <v>2552.0103049999998</v>
      </c>
      <c r="X514" s="115">
        <f t="shared" si="101"/>
        <v>3047100.3041699999</v>
      </c>
      <c r="Y514" s="261" t="s">
        <v>5344</v>
      </c>
      <c r="Z514" t="s">
        <v>25</v>
      </c>
      <c r="AA514" t="s">
        <v>25</v>
      </c>
    </row>
    <row r="515" spans="15:28">
      <c r="R515" s="97" t="s">
        <v>6410</v>
      </c>
      <c r="S515" s="93">
        <v>469469.96222000004</v>
      </c>
      <c r="U515" s="19" t="s">
        <v>7010</v>
      </c>
      <c r="V515" s="19">
        <v>928</v>
      </c>
      <c r="W515" s="115">
        <v>2626.1621239999999</v>
      </c>
      <c r="X515" s="115">
        <f t="shared" si="101"/>
        <v>2437078.451072</v>
      </c>
      <c r="Y515" s="261" t="s">
        <v>5344</v>
      </c>
    </row>
    <row r="516" spans="15:28">
      <c r="R516" s="97" t="s">
        <v>6451</v>
      </c>
      <c r="S516" s="93">
        <v>73977944.489465997</v>
      </c>
      <c r="U516" s="187" t="s">
        <v>7069</v>
      </c>
      <c r="V516" s="187">
        <v>-15181</v>
      </c>
      <c r="W516" s="186">
        <v>2675.3319820000002</v>
      </c>
      <c r="X516" s="186">
        <f t="shared" si="101"/>
        <v>-40614214.818742</v>
      </c>
      <c r="Y516" s="260" t="s">
        <v>7070</v>
      </c>
      <c r="AB516" t="s">
        <v>25</v>
      </c>
    </row>
    <row r="517" spans="15:28">
      <c r="R517" s="97" t="s">
        <v>6456</v>
      </c>
      <c r="S517" s="93">
        <v>570166.40976800001</v>
      </c>
      <c r="U517" s="19"/>
      <c r="V517" s="19"/>
      <c r="W517" s="115"/>
      <c r="X517" s="115"/>
      <c r="Y517" s="261"/>
    </row>
    <row r="518" spans="15:28">
      <c r="R518" s="97" t="s">
        <v>6459</v>
      </c>
      <c r="S518" s="93">
        <v>3585319.2317280001</v>
      </c>
      <c r="U518" s="19"/>
      <c r="V518" s="19"/>
      <c r="W518" s="115"/>
      <c r="X518" s="115">
        <f t="shared" si="101"/>
        <v>0</v>
      </c>
      <c r="Y518" s="261"/>
      <c r="Z518" t="s">
        <v>25</v>
      </c>
    </row>
    <row r="519" spans="15:28">
      <c r="R519" s="97" t="s">
        <v>6462</v>
      </c>
      <c r="S519" s="93">
        <v>676700.69889600005</v>
      </c>
      <c r="U519" s="19"/>
      <c r="V519" s="19"/>
      <c r="W519" s="115"/>
      <c r="X519" s="115">
        <f t="shared" si="101"/>
        <v>0</v>
      </c>
      <c r="Y519" s="261"/>
      <c r="Z519" t="s">
        <v>25</v>
      </c>
    </row>
    <row r="520" spans="15:28">
      <c r="R520" s="97" t="s">
        <v>6470</v>
      </c>
      <c r="S520" s="93">
        <v>1105777.5430340001</v>
      </c>
      <c r="U520" s="97"/>
      <c r="V520" s="166"/>
      <c r="W520" s="111"/>
      <c r="X520" s="115">
        <f t="shared" si="101"/>
        <v>0</v>
      </c>
      <c r="Y520" s="97"/>
    </row>
    <row r="521" spans="15:28">
      <c r="R521" s="97" t="s">
        <v>6474</v>
      </c>
      <c r="S521" s="93">
        <v>2315234.8602510002</v>
      </c>
      <c r="U521" s="166"/>
      <c r="V521" s="166">
        <f>SUM(V164:V520)</f>
        <v>4309610</v>
      </c>
      <c r="W521" s="97"/>
      <c r="X521" s="97"/>
      <c r="Y521" s="97"/>
      <c r="Z521" t="s">
        <v>25</v>
      </c>
    </row>
    <row r="522" spans="15:28">
      <c r="R522" s="97" t="s">
        <v>6476</v>
      </c>
      <c r="S522" s="93">
        <v>4136360.6541840001</v>
      </c>
      <c r="U522" s="97"/>
      <c r="V522" s="97" t="s">
        <v>6</v>
      </c>
      <c r="W522" s="97"/>
      <c r="X522" s="97"/>
      <c r="Y522" s="97"/>
      <c r="AA522" t="s">
        <v>25</v>
      </c>
    </row>
    <row r="523" spans="15:28">
      <c r="R523" s="97" t="s">
        <v>6478</v>
      </c>
      <c r="S523" s="93">
        <v>3035714.4702960001</v>
      </c>
      <c r="U523" s="197" t="s">
        <v>4433</v>
      </c>
    </row>
    <row r="524" spans="15:28">
      <c r="O524" s="112"/>
      <c r="R524" s="97" t="s">
        <v>6486</v>
      </c>
      <c r="S524" s="93">
        <v>-179906186.46823201</v>
      </c>
      <c r="U524" s="196">
        <f>S180/V521</f>
        <v>2592.1511798051333</v>
      </c>
      <c r="Y524" t="s">
        <v>25</v>
      </c>
    </row>
    <row r="525" spans="15:28">
      <c r="R525" s="97" t="s">
        <v>6492</v>
      </c>
      <c r="S525" s="93">
        <v>345069.28943499998</v>
      </c>
      <c r="X525" s="112"/>
    </row>
    <row r="526" spans="15:28">
      <c r="R526" s="97" t="s">
        <v>6584</v>
      </c>
      <c r="S526" s="93">
        <v>567785.37859199999</v>
      </c>
      <c r="V526" s="94" t="s">
        <v>267</v>
      </c>
      <c r="W526" t="s">
        <v>4434</v>
      </c>
      <c r="Y526" t="s">
        <v>25</v>
      </c>
    </row>
    <row r="527" spans="15:28">
      <c r="R527" s="97" t="s">
        <v>6595</v>
      </c>
      <c r="S527" s="93">
        <v>189683.91675</v>
      </c>
      <c r="U527" s="112"/>
      <c r="V527" s="93">
        <v>40616000</v>
      </c>
      <c r="W527">
        <f>V527/U524</f>
        <v>15668.83919287969</v>
      </c>
      <c r="Y527" t="s">
        <v>25</v>
      </c>
    </row>
    <row r="528" spans="15:28">
      <c r="R528" s="97" t="s">
        <v>6596</v>
      </c>
      <c r="S528" s="93">
        <v>10000000</v>
      </c>
      <c r="U528" t="s">
        <v>25</v>
      </c>
      <c r="Y528" t="s">
        <v>25</v>
      </c>
    </row>
    <row r="529" spans="18:25">
      <c r="R529" s="97" t="s">
        <v>6596</v>
      </c>
      <c r="S529" s="93">
        <v>519135.75707200001</v>
      </c>
      <c r="U529" t="s">
        <v>25</v>
      </c>
      <c r="V529" s="94" t="s">
        <v>25</v>
      </c>
      <c r="W529" s="22"/>
      <c r="X529" s="213"/>
      <c r="Y529" s="270" t="s">
        <v>25</v>
      </c>
    </row>
    <row r="530" spans="18:25">
      <c r="R530" s="97" t="s">
        <v>6602</v>
      </c>
      <c r="S530" s="93">
        <v>3406413.9029760002</v>
      </c>
      <c r="W530" t="s">
        <v>25</v>
      </c>
      <c r="X530" s="94" t="s">
        <v>25</v>
      </c>
      <c r="Y530" t="s">
        <v>25</v>
      </c>
    </row>
    <row r="531" spans="18:25">
      <c r="R531" s="97" t="s">
        <v>6604</v>
      </c>
      <c r="S531" s="93">
        <v>435036.348168</v>
      </c>
      <c r="X531" s="112"/>
      <c r="Y531" t="s">
        <v>25</v>
      </c>
    </row>
    <row r="532" spans="18:25">
      <c r="R532" s="97" t="s">
        <v>6645</v>
      </c>
      <c r="S532" s="93">
        <v>2321535.4633200001</v>
      </c>
      <c r="U532" s="22"/>
      <c r="W532" s="213"/>
    </row>
    <row r="533" spans="18:25">
      <c r="R533" s="97" t="s">
        <v>6928</v>
      </c>
      <c r="S533" s="93">
        <v>1098146.8035800001</v>
      </c>
      <c r="U533" s="22"/>
      <c r="X533" s="270"/>
    </row>
    <row r="534" spans="18:25">
      <c r="R534" s="97" t="s">
        <v>6934</v>
      </c>
      <c r="S534" s="93">
        <v>540424.560405</v>
      </c>
    </row>
    <row r="535" spans="18:25">
      <c r="R535" s="97" t="s">
        <v>6936</v>
      </c>
      <c r="S535" s="93">
        <v>2781712.2405709997</v>
      </c>
    </row>
    <row r="536" spans="18:25">
      <c r="R536" s="97" t="s">
        <v>6941</v>
      </c>
      <c r="S536" s="93">
        <v>159680.86334900002</v>
      </c>
      <c r="U536" s="97" t="s">
        <v>4435</v>
      </c>
      <c r="V536" s="97" t="s">
        <v>4416</v>
      </c>
      <c r="W536" s="97" t="s">
        <v>936</v>
      </c>
      <c r="X536" s="419"/>
    </row>
    <row r="537" spans="18:25">
      <c r="R537" s="97" t="s">
        <v>6967</v>
      </c>
      <c r="S537" s="93">
        <v>13945790.265610002</v>
      </c>
      <c r="U537" s="93">
        <f>T233+S301+S549</f>
        <v>2361759973.1600437</v>
      </c>
      <c r="V537" s="93">
        <f>S180</f>
        <v>11171160646</v>
      </c>
      <c r="W537" s="93">
        <f>V537-U537</f>
        <v>8809400672.8399563</v>
      </c>
    </row>
    <row r="538" spans="18:25">
      <c r="R538" s="97" t="s">
        <v>6969</v>
      </c>
      <c r="S538" s="93">
        <v>457914.84466800001</v>
      </c>
      <c r="X538" s="94" t="s">
        <v>25</v>
      </c>
    </row>
    <row r="539" spans="18:25">
      <c r="R539" s="97" t="s">
        <v>6971</v>
      </c>
      <c r="S539" s="93">
        <v>974570.33942399989</v>
      </c>
    </row>
    <row r="540" spans="18:25">
      <c r="R540" s="97" t="s">
        <v>6973</v>
      </c>
      <c r="S540" s="93">
        <v>746198.52596400003</v>
      </c>
      <c r="U540" s="112"/>
      <c r="W540" s="112"/>
    </row>
    <row r="541" spans="18:25">
      <c r="R541" s="97" t="s">
        <v>6983</v>
      </c>
      <c r="S541" s="93">
        <v>416108</v>
      </c>
    </row>
    <row r="542" spans="18:25">
      <c r="R542" s="97" t="s">
        <v>7000</v>
      </c>
      <c r="S542" s="93">
        <v>361620.57555000001</v>
      </c>
      <c r="U542" s="112"/>
    </row>
    <row r="543" spans="18:25">
      <c r="R543" s="97" t="s">
        <v>7001</v>
      </c>
      <c r="S543" s="93">
        <v>761310.51884999999</v>
      </c>
    </row>
    <row r="544" spans="18:25">
      <c r="R544" s="97" t="s">
        <v>7004</v>
      </c>
      <c r="S544" s="93">
        <v>3047100.3041699999</v>
      </c>
      <c r="U544" s="112"/>
    </row>
    <row r="545" spans="18:25">
      <c r="R545" s="97" t="s">
        <v>7010</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9"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1.329923273657289</v>
      </c>
      <c r="J1" s="400">
        <f t="shared" ref="J1:J42" si="2">I1/H1</f>
        <v>1.0680210280303282</v>
      </c>
      <c r="K1" s="32">
        <f t="shared" ref="K1:K43" si="3">(1/J1-1.0256)*100</f>
        <v>-8.9288847171646424</v>
      </c>
      <c r="L1" s="400"/>
      <c r="M1" s="400"/>
      <c r="N1" s="400">
        <v>1</v>
      </c>
      <c r="O1" s="40"/>
      <c r="P1" s="40"/>
      <c r="S1" s="94" t="s">
        <v>5816</v>
      </c>
      <c r="T1" s="94" t="s">
        <v>5817</v>
      </c>
      <c r="U1" s="94"/>
      <c r="V1" s="94"/>
      <c r="W1" s="94"/>
      <c r="X1" s="5" t="s">
        <v>6412</v>
      </c>
      <c r="Y1" s="5" t="s">
        <v>6413</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1.329923273657289</v>
      </c>
      <c r="J2" s="400">
        <f>I2/H2</f>
        <v>1.0084856478789712</v>
      </c>
      <c r="K2" s="32">
        <f t="shared" si="3"/>
        <v>-3.4014247537204056</v>
      </c>
      <c r="L2" s="400" t="s">
        <v>25</v>
      </c>
      <c r="M2" s="400"/>
      <c r="N2" s="400">
        <f>H2/H1</f>
        <v>1.059034434725542</v>
      </c>
      <c r="O2" s="40"/>
      <c r="P2" s="40"/>
      <c r="S2" s="94">
        <v>80</v>
      </c>
      <c r="T2" s="112">
        <v>1099</v>
      </c>
      <c r="U2" s="94">
        <f>S2/T2</f>
        <v>7.2793448589626927E-2</v>
      </c>
      <c r="V2" s="94"/>
      <c r="W2" s="94"/>
      <c r="X2" s="5" t="s">
        <v>743</v>
      </c>
      <c r="Y2" s="5" t="s">
        <v>6414</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1.329923273657289</v>
      </c>
      <c r="J3" s="400">
        <f t="shared" si="2"/>
        <v>0.99914272907028323</v>
      </c>
      <c r="K3" s="32">
        <f t="shared" si="3"/>
        <v>-2.4741993526275818</v>
      </c>
      <c r="L3" s="400"/>
      <c r="M3" s="400"/>
      <c r="N3" s="400">
        <f>H3/H2</f>
        <v>1.0093509350935093</v>
      </c>
      <c r="O3" s="40"/>
      <c r="P3" s="40"/>
      <c r="S3" s="113"/>
      <c r="T3" s="113"/>
      <c r="U3" s="113"/>
      <c r="V3" s="113"/>
      <c r="W3" s="113"/>
      <c r="X3" s="5" t="s">
        <v>452</v>
      </c>
      <c r="Y3" s="5" t="s">
        <v>6610</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17.275747508305649</v>
      </c>
      <c r="J4" s="32">
        <f t="shared" si="2"/>
        <v>1.085065854532947</v>
      </c>
      <c r="K4" s="32">
        <f t="shared" si="3"/>
        <v>-10.39969509109312</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17.275747508305649</v>
      </c>
      <c r="J5" s="32">
        <f t="shared" si="2"/>
        <v>1.0689708958705733</v>
      </c>
      <c r="K5" s="32">
        <f t="shared" si="3"/>
        <v>-9.0120836008732663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17.275747508305649</v>
      </c>
      <c r="J6" s="32">
        <f t="shared" si="2"/>
        <v>1.0600479334676467</v>
      </c>
      <c r="K6" s="32">
        <f t="shared" si="3"/>
        <v>-8.2246432271432255</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17.275747508305649</v>
      </c>
      <c r="J7" s="32">
        <f t="shared" ref="J7:J9" si="7">I7/H7</f>
        <v>1.056498393123052</v>
      </c>
      <c r="K7" s="32">
        <f t="shared" ref="K7:K9" si="8">(1/J7-1.0256)*100</f>
        <v>-7.9077027027027018</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6626</v>
      </c>
      <c r="B8" s="399" t="s">
        <v>4358</v>
      </c>
      <c r="C8" s="295">
        <v>24630.9</v>
      </c>
      <c r="D8" s="399">
        <v>1137</v>
      </c>
      <c r="E8" s="394" t="s">
        <v>4216</v>
      </c>
      <c r="F8" s="391">
        <v>1628</v>
      </c>
      <c r="G8" s="401">
        <f t="shared" si="5"/>
        <v>16986.761456009037</v>
      </c>
      <c r="H8" s="392">
        <f t="shared" si="6"/>
        <v>15.129545454545456</v>
      </c>
      <c r="I8" s="393">
        <f t="shared" si="4"/>
        <v>17.275747508305649</v>
      </c>
      <c r="J8" s="32">
        <f t="shared" si="7"/>
        <v>1.1418550253349085</v>
      </c>
      <c r="K8" s="32">
        <f t="shared" si="8"/>
        <v>-14.983208041958051</v>
      </c>
      <c r="L8" s="32"/>
      <c r="M8" s="32"/>
      <c r="N8" s="402">
        <f t="shared" si="9"/>
        <v>0.92524739978543169</v>
      </c>
      <c r="O8" s="40"/>
      <c r="P8" s="191"/>
      <c r="S8" s="113"/>
      <c r="T8" s="113"/>
      <c r="U8" s="113"/>
      <c r="V8" s="113"/>
      <c r="W8" s="113"/>
      <c r="Y8" t="s">
        <v>25</v>
      </c>
      <c r="AA8" s="113"/>
      <c r="AB8" s="113"/>
      <c r="AC8" s="113"/>
    </row>
    <row r="9" spans="1:29" ht="19.5">
      <c r="A9" s="399" t="s">
        <v>6641</v>
      </c>
      <c r="B9" s="399" t="s">
        <v>4358</v>
      </c>
      <c r="C9" s="295">
        <v>24498.3</v>
      </c>
      <c r="D9" s="399">
        <v>250</v>
      </c>
      <c r="E9" s="394" t="s">
        <v>4216</v>
      </c>
      <c r="F9" s="391">
        <v>1523</v>
      </c>
      <c r="G9" s="401">
        <f t="shared" si="5"/>
        <v>3971.0037468382338</v>
      </c>
      <c r="H9" s="392">
        <f t="shared" si="6"/>
        <v>16.085554826001314</v>
      </c>
      <c r="I9" s="393">
        <f t="shared" si="4"/>
        <v>17.275747508305649</v>
      </c>
      <c r="J9" s="32">
        <f t="shared" si="7"/>
        <v>1.0739913975724644</v>
      </c>
      <c r="K9" s="32">
        <f t="shared" si="8"/>
        <v>-9.4493845648770289</v>
      </c>
      <c r="L9" s="32"/>
      <c r="M9" s="32"/>
      <c r="N9" s="402">
        <f t="shared" si="9"/>
        <v>1.0631882414662126</v>
      </c>
      <c r="O9" s="40"/>
      <c r="P9" s="191"/>
      <c r="S9" s="113"/>
      <c r="T9" s="113"/>
      <c r="U9" s="113"/>
    </row>
    <row r="10" spans="1:29" ht="19.5">
      <c r="A10" s="399" t="s">
        <v>6643</v>
      </c>
      <c r="B10" s="399" t="s">
        <v>4358</v>
      </c>
      <c r="C10" s="295">
        <v>25196.5</v>
      </c>
      <c r="D10" s="399">
        <v>613</v>
      </c>
      <c r="E10" s="394" t="s">
        <v>4216</v>
      </c>
      <c r="F10" s="391">
        <v>1542</v>
      </c>
      <c r="G10" s="401">
        <f t="shared" si="5"/>
        <v>9891.0081935249291</v>
      </c>
      <c r="H10" s="392">
        <f t="shared" si="6"/>
        <v>16.340142671854736</v>
      </c>
      <c r="I10" s="393">
        <f t="shared" si="4"/>
        <v>17.275747508305649</v>
      </c>
      <c r="J10" s="32">
        <f>I10/H10</f>
        <v>1.0572580579765962</v>
      </c>
      <c r="K10" s="32">
        <f t="shared" ref="K10" si="10">(1/J10-1.0256)*100</f>
        <v>-7.9757126109947123</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12.990033222591363</v>
      </c>
      <c r="J11" s="400">
        <f>I11/H11</f>
        <v>1.2602109307535665</v>
      </c>
      <c r="K11" s="400">
        <f>(1/J11-1.0256)*100</f>
        <v>-23.208204550802346</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12.990033222591363</v>
      </c>
      <c r="J12" s="400">
        <f t="shared" si="2"/>
        <v>1.2495466593833671</v>
      </c>
      <c r="K12" s="400">
        <f t="shared" si="3"/>
        <v>-22.530975674210897</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12.990033222591363</v>
      </c>
      <c r="J13" s="400">
        <f t="shared" si="2"/>
        <v>1.2375107458516537</v>
      </c>
      <c r="K13" s="400">
        <f t="shared" si="3"/>
        <v>-21.752620884128081</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12.990033222591363</v>
      </c>
      <c r="J14" s="400">
        <f t="shared" si="2"/>
        <v>1.2213827370977819</v>
      </c>
      <c r="K14" s="400">
        <f t="shared" si="3"/>
        <v>-20.685582618256582</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12.990033222591363</v>
      </c>
      <c r="J15" s="400">
        <f t="shared" si="2"/>
        <v>1.2313528210123803</v>
      </c>
      <c r="K15" s="400">
        <f t="shared" si="3"/>
        <v>-21.348507815507279</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12.990033222591363</v>
      </c>
      <c r="J16" s="400">
        <f t="shared" si="2"/>
        <v>1.2007212257121842</v>
      </c>
      <c r="K16" s="400">
        <f t="shared" si="3"/>
        <v>-19.276721701419952</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12.990033222591363</v>
      </c>
      <c r="J17" s="400">
        <f t="shared" si="2"/>
        <v>1.1776117454191994</v>
      </c>
      <c r="K17" s="400">
        <f t="shared" si="3"/>
        <v>-17.642368710238564</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12.990033222591363</v>
      </c>
      <c r="J18" s="400">
        <f t="shared" si="2"/>
        <v>1.1555516240786206</v>
      </c>
      <c r="K18" s="400">
        <f t="shared" si="3"/>
        <v>-16.021244035951209</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12.990033222591363</v>
      </c>
      <c r="J19" s="400">
        <f t="shared" si="2"/>
        <v>1.1468070834643995</v>
      </c>
      <c r="K19" s="400">
        <f t="shared" si="3"/>
        <v>-15.361375713595072</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12.990033222591363</v>
      </c>
      <c r="J20" s="400">
        <f>I20/H20</f>
        <v>1.1257041333146449</v>
      </c>
      <c r="K20" s="400">
        <f t="shared" si="3"/>
        <v>-13.726711535872948</v>
      </c>
      <c r="L20" s="400"/>
      <c r="M20" s="400"/>
      <c r="N20" s="400">
        <f t="shared" si="13"/>
        <v>1.0187464445809724</v>
      </c>
      <c r="O20" s="40"/>
      <c r="P20" s="40"/>
      <c r="Q20" t="s">
        <v>6594</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12.990033222591363</v>
      </c>
      <c r="J21" s="400">
        <f t="shared" si="2"/>
        <v>1.0560223505762187</v>
      </c>
      <c r="K21" s="400">
        <f t="shared" si="3"/>
        <v>-7.8650345521238503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6463</v>
      </c>
      <c r="B22" s="389" t="s">
        <v>4354</v>
      </c>
      <c r="C22" s="388">
        <v>14171</v>
      </c>
      <c r="D22" s="389">
        <v>2105</v>
      </c>
      <c r="E22" s="394" t="s">
        <v>4216</v>
      </c>
      <c r="F22" s="391">
        <v>1155</v>
      </c>
      <c r="G22" s="394">
        <f t="shared" si="0"/>
        <v>25503.210580255756</v>
      </c>
      <c r="H22" s="394">
        <f t="shared" si="1"/>
        <v>12.26926406926407</v>
      </c>
      <c r="I22" s="393">
        <f t="shared" si="12"/>
        <v>12.990033222591363</v>
      </c>
      <c r="J22" s="400">
        <f>I22/H22</f>
        <v>1.0587459157499839</v>
      </c>
      <c r="K22" s="400">
        <f t="shared" ref="K22" si="14">(1/J22-1.0256)*100</f>
        <v>-8.1086321010617635</v>
      </c>
      <c r="L22" s="400"/>
      <c r="M22" s="400"/>
      <c r="N22" s="400">
        <f>H22/H21</f>
        <v>0.99742755543775952</v>
      </c>
      <c r="O22" s="40"/>
      <c r="P22" s="40"/>
    </row>
    <row r="23" spans="1:26">
      <c r="A23" s="403" t="s">
        <v>6478</v>
      </c>
      <c r="B23" s="389" t="s">
        <v>4354</v>
      </c>
      <c r="C23" s="388">
        <v>15584</v>
      </c>
      <c r="D23" s="389">
        <v>4776</v>
      </c>
      <c r="E23" s="394" t="s">
        <v>4216</v>
      </c>
      <c r="F23" s="391">
        <v>1253</v>
      </c>
      <c r="G23" s="394">
        <f t="shared" si="0"/>
        <v>58656.538391993388</v>
      </c>
      <c r="H23" s="394">
        <f t="shared" si="1"/>
        <v>12.437350359138069</v>
      </c>
      <c r="I23" s="393">
        <f t="shared" si="12"/>
        <v>12.990033222591363</v>
      </c>
      <c r="J23" s="400">
        <f t="shared" ref="J23" si="15">I23/H23</f>
        <v>1.0444373477866387</v>
      </c>
      <c r="K23" s="400">
        <f t="shared" ref="K23" si="16">(1/J23-1.0256)*100</f>
        <v>-6.8146685907785614</v>
      </c>
      <c r="L23" s="400"/>
      <c r="M23" s="400"/>
      <c r="N23" s="400">
        <f t="shared" ref="N23" si="17">H23/H22</f>
        <v>1.0136997858164187</v>
      </c>
      <c r="O23" s="40"/>
      <c r="P23" s="40"/>
      <c r="W23" s="353"/>
    </row>
    <row r="24" spans="1:26">
      <c r="A24" s="403" t="s">
        <v>6486</v>
      </c>
      <c r="B24" s="389" t="s">
        <v>4354</v>
      </c>
      <c r="C24" s="388">
        <v>16011</v>
      </c>
      <c r="D24" s="389">
        <v>1472</v>
      </c>
      <c r="E24" s="394" t="s">
        <v>4216</v>
      </c>
      <c r="F24" s="391">
        <v>1275</v>
      </c>
      <c r="G24" s="394">
        <f t="shared" si="0"/>
        <v>18253.255196599301</v>
      </c>
      <c r="H24" s="394">
        <f t="shared" si="1"/>
        <v>12.55764705882353</v>
      </c>
      <c r="I24" s="393">
        <f t="shared" si="12"/>
        <v>12.990033222591363</v>
      </c>
      <c r="J24" s="400">
        <f t="shared" ref="J24:J25" si="18">I24/H24</f>
        <v>1.0344321003562542</v>
      </c>
      <c r="K24" s="400">
        <f t="shared" ref="K24:K25" si="19">(1/J24-1.0256)*100</f>
        <v>-5.8885993681360045</v>
      </c>
      <c r="L24" s="400"/>
      <c r="M24" s="400"/>
      <c r="N24" s="400">
        <f t="shared" ref="N24:N25" si="20">H24/H23</f>
        <v>1.0096722128276363</v>
      </c>
      <c r="O24" s="40"/>
      <c r="P24" s="40"/>
      <c r="R24" s="352"/>
      <c r="T24" s="353"/>
      <c r="W24" s="353"/>
      <c r="Z24" s="353"/>
    </row>
    <row r="25" spans="1:26">
      <c r="A25" s="403" t="s">
        <v>7001</v>
      </c>
      <c r="B25" s="389" t="s">
        <v>4354</v>
      </c>
      <c r="C25" s="388">
        <v>18890</v>
      </c>
      <c r="D25" s="389">
        <v>403</v>
      </c>
      <c r="E25" s="394" t="s">
        <v>4216</v>
      </c>
      <c r="F25" s="391">
        <v>1504.9</v>
      </c>
      <c r="G25" s="394">
        <f t="shared" si="0"/>
        <v>4995.2083203726907</v>
      </c>
      <c r="H25" s="394">
        <f t="shared" si="1"/>
        <v>12.552329058409196</v>
      </c>
      <c r="I25" s="393">
        <f t="shared" si="12"/>
        <v>12.990033222591363</v>
      </c>
      <c r="J25" s="400">
        <f t="shared" si="18"/>
        <v>1.0348703545091447</v>
      </c>
      <c r="K25" s="400">
        <f t="shared" si="19"/>
        <v>-5.9295384506095283</v>
      </c>
      <c r="L25" s="400"/>
      <c r="M25" s="400"/>
      <c r="N25" s="400">
        <f t="shared" si="20"/>
        <v>0.99957651298930261</v>
      </c>
      <c r="O25" s="40"/>
      <c r="P25" s="40"/>
      <c r="Q25" s="94" t="s">
        <v>25</v>
      </c>
      <c r="R25" s="385"/>
      <c r="T25" s="353"/>
      <c r="U25" s="353"/>
      <c r="V25" t="s">
        <v>25</v>
      </c>
      <c r="W25" s="353" t="s">
        <v>25</v>
      </c>
      <c r="Z25" s="353"/>
    </row>
    <row r="26" spans="1:26">
      <c r="A26" s="404" t="s">
        <v>6471</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3.01</v>
      </c>
      <c r="J26" s="400">
        <f t="shared" ref="J26:J27" si="24">I26/H26</f>
        <v>1.1176542157676346</v>
      </c>
      <c r="K26" s="400">
        <f>(1/J26-1.0256)*100</f>
        <v>-13.086888737839786</v>
      </c>
      <c r="L26" s="400"/>
      <c r="M26" s="400"/>
      <c r="N26" s="400">
        <f>1</f>
        <v>1</v>
      </c>
      <c r="O26" s="405">
        <f t="shared" ref="O26:O28" si="25">F26-C26</f>
        <v>-757.56700000000001</v>
      </c>
      <c r="P26" s="405">
        <f>R32-R31</f>
        <v>-1005</v>
      </c>
      <c r="R26" s="385"/>
      <c r="S26" t="s">
        <v>25</v>
      </c>
      <c r="T26" s="353"/>
      <c r="U26" s="353"/>
      <c r="W26" s="353"/>
      <c r="Z26" s="353"/>
    </row>
    <row r="27" spans="1:26">
      <c r="A27" s="404" t="s">
        <v>6474</v>
      </c>
      <c r="B27" s="394" t="s">
        <v>4216</v>
      </c>
      <c r="C27" s="391">
        <v>1225</v>
      </c>
      <c r="D27" s="394">
        <v>54062</v>
      </c>
      <c r="E27" s="396" t="s">
        <v>5267</v>
      </c>
      <c r="F27" s="395">
        <v>450.66300000000001</v>
      </c>
      <c r="G27" s="396">
        <f t="shared" si="21"/>
        <v>145111.06730349615</v>
      </c>
      <c r="H27" s="396">
        <f t="shared" si="22"/>
        <v>2.7182173819461548</v>
      </c>
      <c r="I27" s="397">
        <f t="shared" si="23"/>
        <v>3.01</v>
      </c>
      <c r="J27" s="400">
        <f t="shared" si="24"/>
        <v>1.1073433714285714</v>
      </c>
      <c r="K27" s="400">
        <f>(1/J27-1.0256)*100</f>
        <v>-12.253774686174257</v>
      </c>
      <c r="L27" s="400"/>
      <c r="M27" s="400"/>
      <c r="N27" s="400">
        <f>H27/H26</f>
        <v>1.0093113343205924</v>
      </c>
      <c r="O27" s="405">
        <f t="shared" si="25"/>
        <v>-774.33699999999999</v>
      </c>
      <c r="P27" s="405"/>
      <c r="R27" s="385"/>
      <c r="T27" s="353"/>
      <c r="U27" s="353"/>
      <c r="W27" s="353"/>
      <c r="Y27" s="353"/>
    </row>
    <row r="28" spans="1:26">
      <c r="A28" s="404" t="s">
        <v>6476</v>
      </c>
      <c r="B28" s="394" t="s">
        <v>4216</v>
      </c>
      <c r="C28" s="391">
        <v>1299.2</v>
      </c>
      <c r="D28" s="394">
        <v>183853</v>
      </c>
      <c r="E28" s="396" t="s">
        <v>5267</v>
      </c>
      <c r="F28" s="395">
        <v>467.66699999999997</v>
      </c>
      <c r="G28" s="396">
        <f t="shared" si="21"/>
        <v>504352.58344984357</v>
      </c>
      <c r="H28" s="396">
        <f t="shared" si="22"/>
        <v>2.7780450619778607</v>
      </c>
      <c r="I28" s="397">
        <f t="shared" si="23"/>
        <v>3.01</v>
      </c>
      <c r="J28" s="400">
        <f t="shared" ref="J28" si="26">I28/H28</f>
        <v>1.0834957435344825</v>
      </c>
      <c r="K28" s="400">
        <f t="shared" ref="K28" si="27">(1/J28-1.0256)*100</f>
        <v>-10.26614412033685</v>
      </c>
      <c r="L28" s="400"/>
      <c r="M28" s="400"/>
      <c r="N28" s="400">
        <f t="shared" ref="N28" si="28">H28/H27</f>
        <v>1.0220098953192887</v>
      </c>
      <c r="O28" s="405">
        <f t="shared" si="25"/>
        <v>-831.53300000000013</v>
      </c>
      <c r="P28" s="40"/>
      <c r="Q28" t="s">
        <v>25</v>
      </c>
      <c r="R28" s="384"/>
      <c r="T28" s="353"/>
      <c r="W28" s="353" t="s">
        <v>25</v>
      </c>
      <c r="Y28" s="353"/>
    </row>
    <row r="29" spans="1:26">
      <c r="A29" s="404" t="s">
        <v>6476</v>
      </c>
      <c r="B29" s="394" t="s">
        <v>4216</v>
      </c>
      <c r="C29" s="391">
        <v>1307</v>
      </c>
      <c r="D29" s="394">
        <v>253107</v>
      </c>
      <c r="E29" s="396" t="s">
        <v>5267</v>
      </c>
      <c r="F29" s="395">
        <v>462.23329999999999</v>
      </c>
      <c r="G29" s="396">
        <f t="shared" si="21"/>
        <v>706712.4744352384</v>
      </c>
      <c r="H29" s="396">
        <f t="shared" si="22"/>
        <v>2.8275764640929157</v>
      </c>
      <c r="I29" s="397">
        <f t="shared" si="23"/>
        <v>3.01</v>
      </c>
      <c r="J29" s="400">
        <f t="shared" ref="J29" si="29">I29/H29</f>
        <v>1.0645158630451415</v>
      </c>
      <c r="K29" s="400">
        <f t="shared" ref="K29" si="30">(1/J29-1.0256)*100</f>
        <v>-8.6205825882752158</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3.01</v>
      </c>
      <c r="J30" s="400">
        <f t="shared" ref="J30" si="33">I30/H30</f>
        <v>1.0630467889908257</v>
      </c>
      <c r="K30" s="400">
        <f t="shared" ref="K30:K31" si="34">(1/J30-1.0256)*100</f>
        <v>-8.4907633157593647</v>
      </c>
      <c r="L30" s="400"/>
      <c r="M30" s="400"/>
      <c r="N30" s="400">
        <f t="shared" ref="N30:N31" si="35">H30/H29</f>
        <v>1.0013819467492211</v>
      </c>
      <c r="O30" s="405">
        <f>F30-C30</f>
        <v>-987.06</v>
      </c>
      <c r="P30" s="40"/>
      <c r="Q30" s="67" t="s">
        <v>5856</v>
      </c>
      <c r="R30" s="302">
        <v>3063</v>
      </c>
      <c r="S30" s="352" t="s">
        <v>25</v>
      </c>
      <c r="T30" s="353"/>
      <c r="W30" s="353"/>
      <c r="Y30" s="353"/>
    </row>
    <row r="31" spans="1:26" ht="21">
      <c r="A31" s="404" t="s">
        <v>6933</v>
      </c>
      <c r="B31" s="394" t="s">
        <v>4216</v>
      </c>
      <c r="C31" s="391">
        <v>1470</v>
      </c>
      <c r="D31" s="394">
        <v>100000</v>
      </c>
      <c r="E31" s="396" t="s">
        <v>5267</v>
      </c>
      <c r="F31" s="395">
        <v>517.66700000000003</v>
      </c>
      <c r="G31" s="396">
        <f t="shared" si="21"/>
        <v>280408.45013521047</v>
      </c>
      <c r="H31" s="417">
        <f t="shared" si="22"/>
        <v>2.8396633356964998</v>
      </c>
      <c r="I31" s="397">
        <f t="shared" si="23"/>
        <v>3.01</v>
      </c>
      <c r="J31" s="400">
        <f>I31/H31</f>
        <v>1.0599848095238096</v>
      </c>
      <c r="K31" s="400">
        <f t="shared" si="34"/>
        <v>-8.2190253921428749</v>
      </c>
      <c r="L31" s="400"/>
      <c r="M31" s="400"/>
      <c r="N31" s="400">
        <f t="shared" si="35"/>
        <v>1.0028887012714756</v>
      </c>
      <c r="O31" s="405">
        <f>F31-C31</f>
        <v>-952.33299999999997</v>
      </c>
      <c r="P31" s="40"/>
      <c r="Q31" s="97" t="s">
        <v>4216</v>
      </c>
      <c r="R31" s="278">
        <v>1505</v>
      </c>
      <c r="S31" s="352" t="s">
        <v>25</v>
      </c>
      <c r="T31" s="353" t="s">
        <v>25</v>
      </c>
      <c r="U31" t="s">
        <v>25</v>
      </c>
      <c r="W31" s="353"/>
      <c r="Y31" s="353"/>
    </row>
    <row r="32" spans="1:26" ht="21">
      <c r="A32" s="404" t="s">
        <v>6941</v>
      </c>
      <c r="B32" s="394" t="s">
        <v>4216</v>
      </c>
      <c r="C32" s="391">
        <v>1476.58</v>
      </c>
      <c r="D32" s="394">
        <v>140000</v>
      </c>
      <c r="E32" s="396" t="s">
        <v>5267</v>
      </c>
      <c r="F32" s="395">
        <v>512.29600000000005</v>
      </c>
      <c r="G32" s="396">
        <f t="shared" si="21"/>
        <v>398463.27060757863</v>
      </c>
      <c r="H32" s="417">
        <f t="shared" si="22"/>
        <v>2.8822789949560406</v>
      </c>
      <c r="I32" s="397">
        <f t="shared" si="23"/>
        <v>3.01</v>
      </c>
      <c r="J32" s="400">
        <f t="shared" ref="J32:J33" si="36">I32/H32</f>
        <v>1.0443125059258558</v>
      </c>
      <c r="K32" s="400">
        <f t="shared" ref="K32:K33" si="37">(1/J32-1.0256)*100</f>
        <v>-6.8032227589355232</v>
      </c>
      <c r="L32" s="400"/>
      <c r="M32" s="400"/>
      <c r="N32" s="400">
        <f t="shared" ref="N32:N33" si="38">H32/H31</f>
        <v>1.0150072928448359</v>
      </c>
      <c r="O32" s="405">
        <f t="shared" ref="O32:O36" si="39">F32-C32</f>
        <v>-964.28399999999988</v>
      </c>
      <c r="P32" s="40"/>
      <c r="Q32" s="97" t="s">
        <v>5267</v>
      </c>
      <c r="R32" s="288">
        <v>500</v>
      </c>
      <c r="S32" t="s">
        <v>25</v>
      </c>
      <c r="T32" s="353" t="s">
        <v>25</v>
      </c>
      <c r="V32" t="s">
        <v>25</v>
      </c>
      <c r="W32" s="353"/>
      <c r="Y32" s="353"/>
    </row>
    <row r="33" spans="1:25" ht="21">
      <c r="A33" s="404" t="s">
        <v>6941</v>
      </c>
      <c r="B33" s="394" t="s">
        <v>4216</v>
      </c>
      <c r="C33" s="391">
        <v>1500</v>
      </c>
      <c r="D33" s="394">
        <v>477049</v>
      </c>
      <c r="E33" s="396" t="s">
        <v>5267</v>
      </c>
      <c r="F33" s="395">
        <v>510.99</v>
      </c>
      <c r="G33" s="396">
        <f t="shared" si="21"/>
        <v>1382821.3959883661</v>
      </c>
      <c r="H33" s="417">
        <f t="shared" si="22"/>
        <v>2.9354781893970525</v>
      </c>
      <c r="I33" s="397">
        <f t="shared" si="23"/>
        <v>3.01</v>
      </c>
      <c r="J33" s="400">
        <f t="shared" si="36"/>
        <v>1.0253866</v>
      </c>
      <c r="K33" s="400">
        <f t="shared" si="37"/>
        <v>-5.0358076612274871</v>
      </c>
      <c r="L33" s="400"/>
      <c r="M33" s="400"/>
      <c r="N33" s="400">
        <f t="shared" si="38"/>
        <v>1.0184573368969867</v>
      </c>
      <c r="O33" s="405">
        <f t="shared" si="39"/>
        <v>-989.01</v>
      </c>
      <c r="P33" s="40"/>
      <c r="Q33" s="97" t="s">
        <v>5799</v>
      </c>
      <c r="R33" s="346">
        <v>1424</v>
      </c>
      <c r="S33" t="s">
        <v>25</v>
      </c>
      <c r="T33" s="353"/>
      <c r="U33" t="s">
        <v>25</v>
      </c>
      <c r="W33" s="353"/>
      <c r="Y33" s="353"/>
    </row>
    <row r="34" spans="1:25" ht="21">
      <c r="A34" s="404" t="s">
        <v>6941</v>
      </c>
      <c r="B34" s="394" t="s">
        <v>4216</v>
      </c>
      <c r="C34" s="391">
        <v>1521</v>
      </c>
      <c r="D34" s="394">
        <v>80000</v>
      </c>
      <c r="E34" s="396" t="s">
        <v>5267</v>
      </c>
      <c r="F34" s="395">
        <v>508.26659999999998</v>
      </c>
      <c r="G34" s="396">
        <f t="shared" si="21"/>
        <v>236402.39514078898</v>
      </c>
      <c r="H34" s="417">
        <f t="shared" si="22"/>
        <v>2.9925240021673667</v>
      </c>
      <c r="I34" s="397">
        <f t="shared" si="23"/>
        <v>3.01</v>
      </c>
      <c r="J34" s="400">
        <f t="shared" ref="J34" si="40">I34/H34</f>
        <v>1.0058398856015778</v>
      </c>
      <c r="K34" s="400">
        <f t="shared" ref="K34" si="41">(1/J34-1.0256)*100</f>
        <v>-3.1405979346389779</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6944</v>
      </c>
      <c r="B35" s="394" t="s">
        <v>4216</v>
      </c>
      <c r="C35" s="391">
        <v>1538.5</v>
      </c>
      <c r="D35" s="394">
        <v>230485</v>
      </c>
      <c r="E35" s="396" t="s">
        <v>5267</v>
      </c>
      <c r="F35" s="395">
        <v>513.55700000000002</v>
      </c>
      <c r="G35" s="396">
        <f t="shared" si="21"/>
        <v>681829.45212567016</v>
      </c>
      <c r="H35" s="417">
        <f t="shared" si="22"/>
        <v>2.995772621150135</v>
      </c>
      <c r="I35" s="397">
        <f t="shared" si="23"/>
        <v>3.01</v>
      </c>
      <c r="J35" s="400">
        <f t="shared" ref="J35" si="43">I35/H35</f>
        <v>1.0047491517712057</v>
      </c>
      <c r="K35" s="400">
        <f t="shared" ref="K35" si="44">(1/J35-1.0256)*100</f>
        <v>-3.0326703936832233</v>
      </c>
      <c r="L35" s="400"/>
      <c r="M35" s="400"/>
      <c r="N35" s="400">
        <f t="shared" ref="N35" si="45">H35/H34</f>
        <v>1.0010855782544821</v>
      </c>
      <c r="O35" s="405">
        <f t="shared" si="39"/>
        <v>-1024.943</v>
      </c>
      <c r="P35" s="40"/>
      <c r="Q35" s="97" t="s">
        <v>4354</v>
      </c>
      <c r="R35" s="287">
        <v>19550</v>
      </c>
      <c r="S35" t="s">
        <v>25</v>
      </c>
      <c r="T35" s="353" t="s">
        <v>25</v>
      </c>
      <c r="W35" s="353"/>
      <c r="Y35" s="353"/>
    </row>
    <row r="36" spans="1:25" ht="21">
      <c r="A36" s="404" t="s">
        <v>6946</v>
      </c>
      <c r="B36" s="394" t="s">
        <v>4216</v>
      </c>
      <c r="C36" s="391">
        <v>1590</v>
      </c>
      <c r="D36" s="394">
        <v>87047</v>
      </c>
      <c r="E36" s="396" t="s">
        <v>5267</v>
      </c>
      <c r="F36" s="395">
        <v>508.11</v>
      </c>
      <c r="G36" s="396">
        <f t="shared" si="21"/>
        <v>268978.4168581767</v>
      </c>
      <c r="H36" s="417">
        <f t="shared" si="22"/>
        <v>3.1292436677097477</v>
      </c>
      <c r="I36" s="397">
        <f t="shared" si="23"/>
        <v>3.01</v>
      </c>
      <c r="J36" s="400">
        <f t="shared" ref="J36" si="46">I36/H36</f>
        <v>0.96189377358490569</v>
      </c>
      <c r="K36" s="400">
        <f t="shared" ref="K36" si="47">(1/J36-1.0256)*100</f>
        <v>1.4015836448421082</v>
      </c>
      <c r="L36" s="400"/>
      <c r="M36" s="400"/>
      <c r="N36" s="400">
        <f t="shared" ref="N36" si="48">H36/H35</f>
        <v>1.0445531298394637</v>
      </c>
      <c r="O36" s="405">
        <f t="shared" si="39"/>
        <v>-1081.8899999999999</v>
      </c>
      <c r="P36" s="40"/>
      <c r="Q36" s="97" t="s">
        <v>4656</v>
      </c>
      <c r="R36" s="445">
        <v>792</v>
      </c>
      <c r="S36" t="s">
        <v>25</v>
      </c>
      <c r="T36" s="353" t="s">
        <v>25</v>
      </c>
    </row>
    <row r="37" spans="1:25" ht="21">
      <c r="A37" s="404" t="s">
        <v>6974</v>
      </c>
      <c r="B37" s="394" t="s">
        <v>4216</v>
      </c>
      <c r="C37" s="391">
        <v>1600</v>
      </c>
      <c r="D37" s="394">
        <v>45761</v>
      </c>
      <c r="E37" s="396" t="s">
        <v>5267</v>
      </c>
      <c r="F37" s="395">
        <v>500</v>
      </c>
      <c r="G37" s="396">
        <f t="shared" si="21"/>
        <v>144600.47767306244</v>
      </c>
      <c r="H37" s="417">
        <f t="shared" si="22"/>
        <v>3.2</v>
      </c>
      <c r="I37" s="397">
        <f t="shared" si="23"/>
        <v>3.01</v>
      </c>
      <c r="J37" s="400">
        <f t="shared" ref="J37:J38" si="49">I37/H37</f>
        <v>0.94062499999999993</v>
      </c>
      <c r="K37" s="400">
        <f t="shared" ref="K37:K38" si="50">(1/J37-1.0256)*100</f>
        <v>3.752292358803988</v>
      </c>
      <c r="L37" s="400"/>
      <c r="M37" s="400"/>
      <c r="N37" s="400">
        <f t="shared" ref="N37:N38" si="51">H37/H36</f>
        <v>1.0226113207547172</v>
      </c>
      <c r="O37" s="405">
        <f t="shared" ref="O37:O38" si="52">F37-C37</f>
        <v>-1100</v>
      </c>
      <c r="P37" s="40"/>
      <c r="Q37" s="67" t="s">
        <v>1068</v>
      </c>
      <c r="R37" s="347">
        <v>120000</v>
      </c>
    </row>
    <row r="38" spans="1:25" ht="18.75">
      <c r="A38" s="404" t="s">
        <v>6977</v>
      </c>
      <c r="B38" s="394" t="s">
        <v>4216</v>
      </c>
      <c r="C38" s="391">
        <v>1615</v>
      </c>
      <c r="D38" s="394">
        <v>20000</v>
      </c>
      <c r="E38" s="396" t="s">
        <v>5267</v>
      </c>
      <c r="F38" s="395">
        <v>500</v>
      </c>
      <c r="G38" s="396">
        <f t="shared" si="21"/>
        <v>63790.610848210221</v>
      </c>
      <c r="H38" s="417">
        <f t="shared" si="22"/>
        <v>3.23</v>
      </c>
      <c r="I38" s="397">
        <f t="shared" si="23"/>
        <v>3.01</v>
      </c>
      <c r="J38" s="400">
        <f t="shared" si="49"/>
        <v>0.93188854489164086</v>
      </c>
      <c r="K38" s="400">
        <f t="shared" si="50"/>
        <v>4.7489700996677708</v>
      </c>
      <c r="L38" s="400"/>
      <c r="M38" s="400"/>
      <c r="N38" s="400">
        <f t="shared" si="51"/>
        <v>1.0093749999999999</v>
      </c>
      <c r="O38" s="405">
        <f t="shared" si="52"/>
        <v>-1115</v>
      </c>
      <c r="P38" s="40"/>
      <c r="Q38" t="s">
        <v>25</v>
      </c>
      <c r="S38" t="s">
        <v>25</v>
      </c>
    </row>
    <row r="39" spans="1:25" ht="18.75">
      <c r="A39" s="404" t="s">
        <v>6979</v>
      </c>
      <c r="B39" s="394" t="s">
        <v>4216</v>
      </c>
      <c r="C39" s="391">
        <v>1655</v>
      </c>
      <c r="D39" s="394">
        <v>364549</v>
      </c>
      <c r="E39" s="396" t="s">
        <v>5267</v>
      </c>
      <c r="F39" s="395">
        <v>510.65600000000001</v>
      </c>
      <c r="G39" s="396">
        <f t="shared" si="21"/>
        <v>1166674.5204602738</v>
      </c>
      <c r="H39" s="417">
        <f t="shared" si="22"/>
        <v>3.2409293144504323</v>
      </c>
      <c r="I39" s="397">
        <f t="shared" si="23"/>
        <v>3.01</v>
      </c>
      <c r="J39" s="400">
        <f t="shared" ref="J39" si="53">I39/H39</f>
        <v>0.92874595770392743</v>
      </c>
      <c r="K39" s="400">
        <f t="shared" ref="K39" si="54">(1/J39-1.0256)*100</f>
        <v>5.1120702475226709</v>
      </c>
      <c r="L39" s="400"/>
      <c r="M39" s="400"/>
      <c r="N39" s="400">
        <f t="shared" ref="N39" si="55">H39/H38</f>
        <v>1.0033836886843444</v>
      </c>
      <c r="O39" s="405">
        <f t="shared" ref="O39" si="56">F39-C39</f>
        <v>-1144.3440000000001</v>
      </c>
      <c r="P39" s="40"/>
      <c r="Q39" t="s">
        <v>25</v>
      </c>
      <c r="R39" t="s">
        <v>25</v>
      </c>
    </row>
    <row r="40" spans="1:25" ht="18.75">
      <c r="A40" s="404" t="s">
        <v>6990</v>
      </c>
      <c r="B40" s="394" t="s">
        <v>4216</v>
      </c>
      <c r="C40" s="391">
        <v>1522</v>
      </c>
      <c r="D40" s="394">
        <v>53176</v>
      </c>
      <c r="E40" s="396" t="s">
        <v>5267</v>
      </c>
      <c r="F40" s="395">
        <v>463.613</v>
      </c>
      <c r="G40" s="396">
        <f t="shared" si="21"/>
        <v>172384.79460916802</v>
      </c>
      <c r="H40" s="417">
        <f t="shared" si="22"/>
        <v>3.2829105309816593</v>
      </c>
      <c r="I40" s="397">
        <f t="shared" si="23"/>
        <v>3.01</v>
      </c>
      <c r="J40" s="400">
        <f t="shared" ref="J40" si="57">I40/H40</f>
        <v>0.91686933639947432</v>
      </c>
      <c r="K40" s="400">
        <f t="shared" ref="K40:K41" si="58">(1/J40-1.0256)*100</f>
        <v>6.5067950492245563</v>
      </c>
      <c r="L40" s="400"/>
      <c r="M40" s="400"/>
      <c r="N40" s="400">
        <f t="shared" ref="N40" si="59">H40/H39</f>
        <v>1.0129534502169004</v>
      </c>
      <c r="O40" s="405">
        <f>F40-C40</f>
        <v>-1058.3869999999999</v>
      </c>
      <c r="P40" s="40"/>
      <c r="R40" t="s">
        <v>25</v>
      </c>
    </row>
    <row r="41" spans="1:25" ht="18.75" customHeight="1">
      <c r="A41" s="404" t="s">
        <v>6990</v>
      </c>
      <c r="B41" s="394" t="s">
        <v>4216</v>
      </c>
      <c r="C41" s="391">
        <v>1534</v>
      </c>
      <c r="D41" s="394">
        <v>54020</v>
      </c>
      <c r="E41" s="396" t="s">
        <v>5267</v>
      </c>
      <c r="F41" s="395">
        <v>463.83</v>
      </c>
      <c r="G41" s="396">
        <f t="shared" si="21"/>
        <v>176418.99652980731</v>
      </c>
      <c r="H41" s="417">
        <f t="shared" si="22"/>
        <v>3.3072461893366105</v>
      </c>
      <c r="I41" s="397">
        <f t="shared" si="23"/>
        <v>3.01</v>
      </c>
      <c r="J41" s="400">
        <f>I41/H41</f>
        <v>0.91012275097783557</v>
      </c>
      <c r="K41" s="400">
        <f t="shared" si="58"/>
        <v>7.3152886822794194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7003</v>
      </c>
      <c r="F42" s="395">
        <v>394</v>
      </c>
      <c r="G42" s="396">
        <f t="shared" si="0"/>
        <v>260156.73964975364</v>
      </c>
      <c r="H42" s="396">
        <f t="shared" si="1"/>
        <v>29.502538071065988</v>
      </c>
      <c r="I42" s="396">
        <f>$R$35/$R$32</f>
        <v>39.1</v>
      </c>
      <c r="J42" s="32">
        <f t="shared" si="2"/>
        <v>1.3253097040605644</v>
      </c>
      <c r="K42" s="32">
        <f t="shared" si="3"/>
        <v>-27.105938437171385</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7003</v>
      </c>
      <c r="F43" s="395">
        <v>389</v>
      </c>
      <c r="G43" s="396">
        <f t="shared" si="0"/>
        <v>10375.865470549827</v>
      </c>
      <c r="H43" s="396">
        <f t="shared" ref="H43:H50" si="61">C43/F43</f>
        <v>29.85089974293059</v>
      </c>
      <c r="I43" s="396">
        <f>$R$35/$R$32</f>
        <v>39.1</v>
      </c>
      <c r="J43" s="32">
        <f t="shared" ref="J43" si="62">I43/H43</f>
        <v>1.3098432655873236</v>
      </c>
      <c r="K43" s="406">
        <f t="shared" si="3"/>
        <v>-26.214987869742746</v>
      </c>
      <c r="L43" s="32" t="s">
        <v>25</v>
      </c>
      <c r="M43" s="32" t="s">
        <v>25</v>
      </c>
      <c r="N43" s="32">
        <f>H43/H42</f>
        <v>1.0118078543285145</v>
      </c>
      <c r="O43" s="40"/>
      <c r="P43" s="40" t="s">
        <v>25</v>
      </c>
      <c r="Q43" s="448">
        <f t="shared" si="60"/>
        <v>154.60999999999999</v>
      </c>
      <c r="S43" t="s">
        <v>25</v>
      </c>
    </row>
    <row r="44" spans="1:25" ht="33.75" customHeight="1">
      <c r="A44" s="407" t="s">
        <v>6629</v>
      </c>
      <c r="B44" s="407" t="s">
        <v>5856</v>
      </c>
      <c r="C44" s="398">
        <v>3112</v>
      </c>
      <c r="D44" s="407">
        <v>200</v>
      </c>
      <c r="E44" s="394" t="s">
        <v>4216</v>
      </c>
      <c r="F44" s="394">
        <v>1613</v>
      </c>
      <c r="G44" s="394">
        <f t="shared" si="0"/>
        <v>381.03025333950779</v>
      </c>
      <c r="H44" s="394">
        <f t="shared" ref="H44:H49" si="63">C44/F44</f>
        <v>1.9293242405455673</v>
      </c>
      <c r="I44" s="394">
        <f>$R$30/$R$31</f>
        <v>2.035215946843854</v>
      </c>
      <c r="J44" s="32">
        <f t="shared" ref="J44:J50" si="64">I44/H44</f>
        <v>1.0548853863300567</v>
      </c>
      <c r="K44" s="406">
        <f t="shared" ref="K44:K50" si="65">(1/J44-1.0256)*100</f>
        <v>-7.7629715304904252</v>
      </c>
      <c r="L44" s="32" t="s">
        <v>25</v>
      </c>
      <c r="M44" s="32" t="s">
        <v>25</v>
      </c>
      <c r="N44" s="32">
        <v>1</v>
      </c>
      <c r="O44" s="40"/>
      <c r="P44" s="40"/>
      <c r="Q44" s="448">
        <f t="shared" si="60"/>
        <v>131.33333333333334</v>
      </c>
      <c r="R44" t="s">
        <v>25</v>
      </c>
      <c r="U44" t="s">
        <v>25</v>
      </c>
    </row>
    <row r="45" spans="1:25" ht="24.75" customHeight="1">
      <c r="A45" s="407" t="s">
        <v>6629</v>
      </c>
      <c r="B45" s="407" t="s">
        <v>5856</v>
      </c>
      <c r="C45" s="398">
        <v>3178</v>
      </c>
      <c r="D45" s="407">
        <v>6860</v>
      </c>
      <c r="E45" s="396" t="s">
        <v>5267</v>
      </c>
      <c r="F45" s="396">
        <v>568.29999999999995</v>
      </c>
      <c r="G45" s="396">
        <f t="shared" si="0"/>
        <v>37881.275651587544</v>
      </c>
      <c r="H45" s="396">
        <f t="shared" si="63"/>
        <v>5.5921168396973435</v>
      </c>
      <c r="I45" s="396">
        <f>$R$30/$R$32</f>
        <v>6.1260000000000003</v>
      </c>
      <c r="J45" s="32">
        <f t="shared" si="64"/>
        <v>1.0954706733794839</v>
      </c>
      <c r="K45" s="406">
        <f t="shared" si="65"/>
        <v>-11.275036896876545</v>
      </c>
      <c r="L45" s="32" t="s">
        <v>25</v>
      </c>
      <c r="M45" s="32" t="s">
        <v>25</v>
      </c>
      <c r="N45" s="32">
        <v>1</v>
      </c>
      <c r="O45" s="40"/>
      <c r="P45" s="40"/>
      <c r="Q45" s="448">
        <f t="shared" si="60"/>
        <v>129.66666666666666</v>
      </c>
    </row>
    <row r="46" spans="1:25" ht="21">
      <c r="A46" s="394" t="s">
        <v>6990</v>
      </c>
      <c r="B46" s="394" t="s">
        <v>4216</v>
      </c>
      <c r="C46" s="391">
        <v>1535</v>
      </c>
      <c r="D46" s="394">
        <v>47912</v>
      </c>
      <c r="E46" s="444" t="s">
        <v>4656</v>
      </c>
      <c r="F46" s="444">
        <v>808</v>
      </c>
      <c r="G46" s="444">
        <f t="shared" si="0"/>
        <v>89880.517035196666</v>
      </c>
      <c r="H46" s="444">
        <f t="shared" si="63"/>
        <v>1.8997524752475248</v>
      </c>
      <c r="I46" s="444">
        <f>$R$31/$R$36</f>
        <v>1.9002525252525253</v>
      </c>
      <c r="J46" s="32">
        <f t="shared" si="64"/>
        <v>1.0002632185042608</v>
      </c>
      <c r="K46" s="406">
        <f t="shared" si="65"/>
        <v>-2.5863149238511962</v>
      </c>
      <c r="L46" s="32" t="s">
        <v>25</v>
      </c>
      <c r="M46" s="32" t="s">
        <v>25</v>
      </c>
      <c r="N46" s="32">
        <v>1</v>
      </c>
      <c r="O46" s="40"/>
      <c r="P46" s="40"/>
      <c r="Q46" s="448"/>
      <c r="R46" t="s">
        <v>25</v>
      </c>
    </row>
    <row r="47" spans="1:25" ht="21">
      <c r="A47" s="394" t="s">
        <v>7005</v>
      </c>
      <c r="B47" s="394" t="s">
        <v>4216</v>
      </c>
      <c r="C47" s="391">
        <v>1490</v>
      </c>
      <c r="D47" s="394">
        <v>65000</v>
      </c>
      <c r="E47" s="444" t="s">
        <v>4656</v>
      </c>
      <c r="F47" s="444">
        <v>784.34</v>
      </c>
      <c r="G47" s="444">
        <f t="shared" ref="G47" si="66">C47*D47*0.99114/(F47*1.0037158)</f>
        <v>121932.50724750379</v>
      </c>
      <c r="H47" s="444">
        <f t="shared" si="63"/>
        <v>1.899686360506923</v>
      </c>
      <c r="I47" s="444">
        <f>$R$31/$R$36</f>
        <v>1.9002525252525253</v>
      </c>
      <c r="J47" s="32">
        <f t="shared" si="64"/>
        <v>1.0002980306419904</v>
      </c>
      <c r="K47" s="406">
        <f t="shared" si="65"/>
        <v>-2.5897941846190764</v>
      </c>
      <c r="L47" s="32" t="s">
        <v>25</v>
      </c>
      <c r="M47" s="32" t="s">
        <v>25</v>
      </c>
      <c r="N47" s="32">
        <f>H47/H46</f>
        <v>0.999965198234263</v>
      </c>
      <c r="O47" s="40"/>
      <c r="P47" s="40"/>
      <c r="Q47" s="448"/>
      <c r="R47" t="s">
        <v>25</v>
      </c>
      <c r="S47" t="s">
        <v>25</v>
      </c>
    </row>
    <row r="48" spans="1:25" ht="21">
      <c r="A48" s="394" t="s">
        <v>7007</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1.9002525252525253</v>
      </c>
      <c r="J48" s="32">
        <f t="shared" ref="J48:J49" si="69">I48/H48</f>
        <v>0.99945707070707079</v>
      </c>
      <c r="K48" s="406">
        <f t="shared" ref="K48:K49" si="70">(1/J48-1.0256)*100</f>
        <v>-2.5056775774726425</v>
      </c>
      <c r="L48" s="32" t="s">
        <v>25</v>
      </c>
      <c r="M48" s="32" t="s">
        <v>25</v>
      </c>
      <c r="N48" s="32">
        <f t="shared" ref="N48" si="71">H48/H47</f>
        <v>1.0008414167647288</v>
      </c>
      <c r="O48" s="40"/>
      <c r="P48" s="40"/>
      <c r="Q48" s="448" t="s">
        <v>7073</v>
      </c>
      <c r="R48" t="s">
        <v>25</v>
      </c>
    </row>
    <row r="49" spans="1:19" ht="21">
      <c r="A49" s="394" t="s">
        <v>7010</v>
      </c>
      <c r="B49" s="394" t="s">
        <v>4216</v>
      </c>
      <c r="C49" s="391">
        <v>1510</v>
      </c>
      <c r="D49" s="394">
        <v>10000</v>
      </c>
      <c r="E49" s="444" t="s">
        <v>4656</v>
      </c>
      <c r="F49" s="444">
        <v>791.19</v>
      </c>
      <c r="G49" s="444">
        <f t="shared" si="67"/>
        <v>18846.05267771344</v>
      </c>
      <c r="H49" s="444">
        <f t="shared" si="63"/>
        <v>1.908517549514023</v>
      </c>
      <c r="I49" s="444">
        <f t="shared" si="68"/>
        <v>1.9002525252525253</v>
      </c>
      <c r="J49" s="32">
        <f t="shared" si="69"/>
        <v>0.99566940096327528</v>
      </c>
      <c r="K49" s="406">
        <f t="shared" si="70"/>
        <v>-2.1250565305577451</v>
      </c>
      <c r="L49" s="32" t="s">
        <v>25</v>
      </c>
      <c r="M49" s="32" t="s">
        <v>25</v>
      </c>
      <c r="N49" s="32">
        <f>H49/H48</f>
        <v>1.0038041439659902</v>
      </c>
      <c r="O49" s="40"/>
      <c r="P49" s="40"/>
      <c r="Q49" s="448"/>
      <c r="R49" t="s">
        <v>25</v>
      </c>
    </row>
    <row r="50" spans="1:19">
      <c r="A50" s="394" t="s">
        <v>6944</v>
      </c>
      <c r="B50" s="394" t="s">
        <v>4216</v>
      </c>
      <c r="C50" s="391">
        <v>1538.5</v>
      </c>
      <c r="D50" s="394">
        <v>1</v>
      </c>
      <c r="E50" s="408" t="s">
        <v>5799</v>
      </c>
      <c r="F50" s="408">
        <v>1353</v>
      </c>
      <c r="G50" s="408">
        <f>C50*D50*0.99114/(F50*1.0037158)</f>
        <v>1.1228556972348047</v>
      </c>
      <c r="H50" s="408">
        <f t="shared" si="61"/>
        <v>1.1371027346637104</v>
      </c>
      <c r="I50" s="408">
        <f>$R$31/$R$33</f>
        <v>1.0568820224719102</v>
      </c>
      <c r="J50" s="32">
        <f t="shared" si="64"/>
        <v>0.92945165837146204</v>
      </c>
      <c r="K50" s="32">
        <f t="shared" si="65"/>
        <v>5.0303185489118496</v>
      </c>
      <c r="L50" s="32"/>
      <c r="M50" s="32"/>
      <c r="N50" s="32">
        <v>1</v>
      </c>
      <c r="O50" s="405">
        <f>F50-C50</f>
        <v>-185.5</v>
      </c>
      <c r="P50" s="405">
        <f>R33-R31</f>
        <v>-81</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6495</v>
      </c>
      <c r="E54" s="97"/>
      <c r="F54" s="97" t="s">
        <v>933</v>
      </c>
      <c r="G54" s="97" t="s">
        <v>6496</v>
      </c>
      <c r="H54" s="97"/>
      <c r="I54" s="97"/>
      <c r="J54" s="97"/>
      <c r="K54" s="97"/>
      <c r="L54" s="97" t="s">
        <v>936</v>
      </c>
      <c r="M54" s="97" t="s">
        <v>5</v>
      </c>
      <c r="N54" s="97" t="s">
        <v>6497</v>
      </c>
      <c r="P54" t="s">
        <v>6498</v>
      </c>
      <c r="Q54" s="448"/>
    </row>
    <row r="55" spans="1:19">
      <c r="A55" s="97" t="s">
        <v>5506</v>
      </c>
      <c r="B55" s="97" t="s">
        <v>6494</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6573</v>
      </c>
      <c r="C56" s="271">
        <v>21532</v>
      </c>
      <c r="D56" s="271">
        <v>1859</v>
      </c>
      <c r="E56" s="273" t="s">
        <v>6501</v>
      </c>
      <c r="F56" s="273">
        <v>1187</v>
      </c>
      <c r="G56" s="273">
        <f t="shared" ref="G56:G62" si="72">C56*D56*0.99114/(F56*1.0037158)</f>
        <v>33299.467209851166</v>
      </c>
      <c r="H56" s="273">
        <f t="shared" ref="H56:H62" si="73">C56/F56</f>
        <v>18.139848357203032</v>
      </c>
      <c r="I56" s="273">
        <f t="shared" ref="I56:I61" si="74">$R$34/$R$31</f>
        <v>17.275747508305649</v>
      </c>
      <c r="J56" s="97">
        <f t="shared" ref="J56:J62" si="75">I56/H56</f>
        <v>0.95236449435067838</v>
      </c>
      <c r="K56" s="97">
        <f t="shared" ref="K56:K62" si="76">(1/J56-1.0256)*100</f>
        <v>2.4418145291944526</v>
      </c>
      <c r="L56" s="93">
        <v>1600000</v>
      </c>
      <c r="M56" s="93">
        <f t="shared" ref="M56:M65" si="77">L56/2</f>
        <v>800000</v>
      </c>
      <c r="N56" s="97" t="s">
        <v>6492</v>
      </c>
    </row>
    <row r="57" spans="1:19">
      <c r="A57" s="271" t="s">
        <v>5734</v>
      </c>
      <c r="B57" s="271" t="s">
        <v>6500</v>
      </c>
      <c r="C57" s="271">
        <v>22420.1</v>
      </c>
      <c r="D57" s="286">
        <v>1000</v>
      </c>
      <c r="E57" s="273" t="s">
        <v>6502</v>
      </c>
      <c r="F57" s="273">
        <v>1161</v>
      </c>
      <c r="G57" s="273">
        <f t="shared" si="72"/>
        <v>19069.072437793271</v>
      </c>
      <c r="H57" s="273">
        <f t="shared" si="73"/>
        <v>19.311024978466836</v>
      </c>
      <c r="I57" s="273">
        <f t="shared" si="74"/>
        <v>17.275747508305649</v>
      </c>
      <c r="J57" s="97">
        <f t="shared" si="75"/>
        <v>0.89460541465661891</v>
      </c>
      <c r="K57" s="97">
        <f t="shared" si="76"/>
        <v>9.2211253561253148</v>
      </c>
      <c r="L57" s="93">
        <v>19462210</v>
      </c>
      <c r="M57" s="93">
        <f t="shared" si="77"/>
        <v>9731105</v>
      </c>
      <c r="N57" s="97" t="s">
        <v>6486</v>
      </c>
      <c r="S57" t="s">
        <v>25</v>
      </c>
    </row>
    <row r="58" spans="1:19">
      <c r="A58" s="271" t="s">
        <v>5735</v>
      </c>
      <c r="B58" s="271" t="s">
        <v>6500</v>
      </c>
      <c r="C58" s="271">
        <v>23233.1</v>
      </c>
      <c r="D58" s="286">
        <v>1000</v>
      </c>
      <c r="E58" s="273" t="s">
        <v>6502</v>
      </c>
      <c r="F58" s="273">
        <v>1152</v>
      </c>
      <c r="G58" s="273">
        <f t="shared" si="72"/>
        <v>19914.936480069027</v>
      </c>
      <c r="H58" s="273">
        <f t="shared" si="73"/>
        <v>20.167621527777776</v>
      </c>
      <c r="I58" s="273">
        <f t="shared" si="74"/>
        <v>17.275747508305649</v>
      </c>
      <c r="J58" s="97">
        <f t="shared" si="75"/>
        <v>0.85660807768089964</v>
      </c>
      <c r="K58" s="97">
        <f t="shared" si="76"/>
        <v>14.179501535790573</v>
      </c>
      <c r="L58" s="93">
        <v>0</v>
      </c>
      <c r="M58" s="93">
        <f t="shared" si="77"/>
        <v>0</v>
      </c>
      <c r="N58" s="97" t="s">
        <v>6486</v>
      </c>
    </row>
    <row r="59" spans="1:19">
      <c r="A59" s="271" t="s">
        <v>5737</v>
      </c>
      <c r="B59" s="271" t="s">
        <v>6500</v>
      </c>
      <c r="C59" s="271">
        <v>23900</v>
      </c>
      <c r="D59" s="286">
        <v>1000</v>
      </c>
      <c r="E59" s="273" t="s">
        <v>6503</v>
      </c>
      <c r="F59" s="273">
        <v>1153</v>
      </c>
      <c r="G59" s="273">
        <f t="shared" si="72"/>
        <v>20468.821398374203</v>
      </c>
      <c r="H59" s="273">
        <f t="shared" si="73"/>
        <v>20.7285342584562</v>
      </c>
      <c r="I59" s="273">
        <f t="shared" si="74"/>
        <v>17.275747508305649</v>
      </c>
      <c r="J59" s="97">
        <f t="shared" si="75"/>
        <v>0.83342832121658639</v>
      </c>
      <c r="K59" s="97">
        <f t="shared" si="76"/>
        <v>17.426323303756064</v>
      </c>
      <c r="L59" s="93">
        <v>0</v>
      </c>
      <c r="M59" s="93">
        <f t="shared" si="77"/>
        <v>0</v>
      </c>
      <c r="N59" s="97" t="s">
        <v>6486</v>
      </c>
      <c r="P59" t="s">
        <v>25</v>
      </c>
    </row>
    <row r="60" spans="1:19">
      <c r="A60" s="271" t="s">
        <v>5747</v>
      </c>
      <c r="B60" s="271" t="s">
        <v>6500</v>
      </c>
      <c r="C60" s="271">
        <v>22500</v>
      </c>
      <c r="D60" s="286">
        <v>2000</v>
      </c>
      <c r="E60" s="273" t="s">
        <v>6502</v>
      </c>
      <c r="F60" s="273">
        <v>1093</v>
      </c>
      <c r="G60" s="273">
        <f t="shared" si="72"/>
        <v>40655.246136679802</v>
      </c>
      <c r="H60" s="273">
        <f t="shared" si="73"/>
        <v>20.585544373284538</v>
      </c>
      <c r="I60" s="273">
        <f t="shared" si="74"/>
        <v>17.275747508305649</v>
      </c>
      <c r="J60" s="97">
        <f t="shared" si="75"/>
        <v>0.83921742340346994</v>
      </c>
      <c r="K60" s="97">
        <f t="shared" si="76"/>
        <v>16.598631853050883</v>
      </c>
      <c r="L60" s="93">
        <v>0</v>
      </c>
      <c r="M60" s="93">
        <f t="shared" si="77"/>
        <v>0</v>
      </c>
      <c r="N60" s="97" t="s">
        <v>6486</v>
      </c>
      <c r="Q60" s="94"/>
    </row>
    <row r="61" spans="1:19">
      <c r="A61" s="271" t="s">
        <v>6470</v>
      </c>
      <c r="B61" s="271" t="s">
        <v>6499</v>
      </c>
      <c r="C61" s="271">
        <v>23706</v>
      </c>
      <c r="D61" s="286">
        <v>1000</v>
      </c>
      <c r="E61" s="273" t="s">
        <v>4216</v>
      </c>
      <c r="F61" s="273">
        <v>1155</v>
      </c>
      <c r="G61" s="273">
        <f t="shared" si="72"/>
        <v>20267.516662882761</v>
      </c>
      <c r="H61" s="273">
        <f t="shared" si="73"/>
        <v>20.524675324675325</v>
      </c>
      <c r="I61" s="273">
        <f t="shared" si="74"/>
        <v>17.275747508305649</v>
      </c>
      <c r="J61" s="97">
        <f t="shared" si="75"/>
        <v>0.84170625040466651</v>
      </c>
      <c r="K61" s="97">
        <f t="shared" si="76"/>
        <v>16.246293706293692</v>
      </c>
      <c r="L61" s="93">
        <v>0</v>
      </c>
      <c r="M61" s="93">
        <f t="shared" si="77"/>
        <v>0</v>
      </c>
      <c r="N61" s="97" t="s">
        <v>6486</v>
      </c>
      <c r="Q61" s="94"/>
      <c r="R61" s="94"/>
    </row>
    <row r="62" spans="1:19">
      <c r="A62" s="60" t="s">
        <v>6470</v>
      </c>
      <c r="B62" s="60" t="s">
        <v>4354</v>
      </c>
      <c r="C62" s="60">
        <v>16794</v>
      </c>
      <c r="D62" s="60">
        <v>2227</v>
      </c>
      <c r="E62" s="273" t="s">
        <v>4216</v>
      </c>
      <c r="F62" s="273">
        <v>1146.6500000000001</v>
      </c>
      <c r="G62" s="273">
        <f t="shared" si="72"/>
        <v>32208.294857700886</v>
      </c>
      <c r="H62" s="273">
        <f t="shared" si="73"/>
        <v>14.646143112545239</v>
      </c>
      <c r="I62" s="273">
        <f>$R$35/$R$31</f>
        <v>12.990033222591363</v>
      </c>
      <c r="J62" s="97">
        <f t="shared" si="75"/>
        <v>0.88692518725046965</v>
      </c>
      <c r="K62" s="97">
        <f t="shared" si="76"/>
        <v>10.189081250028554</v>
      </c>
      <c r="L62" s="93">
        <v>3219484</v>
      </c>
      <c r="M62" s="93">
        <f t="shared" si="77"/>
        <v>1609742</v>
      </c>
      <c r="N62" s="97" t="s">
        <v>6476</v>
      </c>
      <c r="P62" t="s">
        <v>25</v>
      </c>
      <c r="Q62" s="94"/>
      <c r="R62" s="94"/>
    </row>
    <row r="63" spans="1:19">
      <c r="A63" s="20" t="s">
        <v>6580</v>
      </c>
      <c r="B63" s="20" t="s">
        <v>6581</v>
      </c>
      <c r="C63" s="20">
        <v>21350</v>
      </c>
      <c r="D63" s="20">
        <v>639</v>
      </c>
      <c r="E63" s="20" t="s">
        <v>4358</v>
      </c>
      <c r="F63" s="20">
        <v>20666.599999999999</v>
      </c>
      <c r="G63" s="20">
        <v>639</v>
      </c>
      <c r="H63" s="20"/>
      <c r="I63" s="20"/>
      <c r="J63" s="20"/>
      <c r="K63" s="20"/>
      <c r="L63" s="345">
        <v>268731</v>
      </c>
      <c r="M63" s="345">
        <f t="shared" si="77"/>
        <v>134365.5</v>
      </c>
      <c r="N63" s="20" t="s">
        <v>6580</v>
      </c>
      <c r="Q63" s="94"/>
      <c r="R63" s="94"/>
    </row>
    <row r="64" spans="1:19">
      <c r="A64" s="97" t="s">
        <v>6590</v>
      </c>
      <c r="B64" s="97" t="s">
        <v>6592</v>
      </c>
      <c r="C64" s="97">
        <v>1286.5</v>
      </c>
      <c r="D64" s="97">
        <v>12000</v>
      </c>
      <c r="E64" s="97" t="s">
        <v>4216</v>
      </c>
      <c r="F64" s="97"/>
      <c r="G64" s="97"/>
      <c r="H64" s="97"/>
      <c r="I64" s="97"/>
      <c r="J64" s="97"/>
      <c r="K64" s="97"/>
      <c r="L64" s="345"/>
      <c r="M64" s="345">
        <f t="shared" si="77"/>
        <v>0</v>
      </c>
      <c r="N64" s="97"/>
      <c r="P64" t="s">
        <v>25</v>
      </c>
      <c r="Q64" s="94"/>
      <c r="R64" s="94"/>
    </row>
    <row r="65" spans="1:20" ht="30">
      <c r="A65" s="97" t="s">
        <v>6591</v>
      </c>
      <c r="B65" s="97" t="s">
        <v>6592</v>
      </c>
      <c r="C65" s="97">
        <v>1275</v>
      </c>
      <c r="D65" s="97">
        <v>9000</v>
      </c>
      <c r="E65" s="97" t="s">
        <v>4216</v>
      </c>
      <c r="F65" s="97">
        <v>1314</v>
      </c>
      <c r="G65" s="97">
        <v>9000</v>
      </c>
      <c r="H65" s="97"/>
      <c r="I65" s="97"/>
      <c r="J65" s="97"/>
      <c r="K65" s="97"/>
      <c r="L65" s="345">
        <v>191456</v>
      </c>
      <c r="M65" s="345">
        <f t="shared" si="77"/>
        <v>95728</v>
      </c>
      <c r="N65" s="36" t="s">
        <v>6606</v>
      </c>
      <c r="Q65" s="94"/>
      <c r="R65" s="94"/>
      <c r="S65" s="94"/>
    </row>
    <row r="66" spans="1:20">
      <c r="A66" s="97" t="s">
        <v>6591</v>
      </c>
      <c r="B66" s="97" t="s">
        <v>6581</v>
      </c>
      <c r="C66" s="97">
        <v>19703</v>
      </c>
      <c r="D66" s="97">
        <v>210</v>
      </c>
      <c r="E66" s="97" t="s">
        <v>4358</v>
      </c>
      <c r="F66" s="97">
        <v>20548.900000000001</v>
      </c>
      <c r="G66" s="97">
        <v>210</v>
      </c>
      <c r="H66" s="97"/>
      <c r="I66" s="97"/>
      <c r="J66" s="97"/>
      <c r="K66" s="97"/>
      <c r="L66" s="345">
        <v>124637</v>
      </c>
      <c r="M66" s="345">
        <f>L66/2</f>
        <v>62318.5</v>
      </c>
      <c r="N66" s="97" t="s">
        <v>6593</v>
      </c>
      <c r="Q66" s="94"/>
      <c r="R66" s="94"/>
      <c r="S66" s="94"/>
    </row>
    <row r="67" spans="1:20">
      <c r="A67" s="97" t="s">
        <v>6593</v>
      </c>
      <c r="B67" s="97" t="s">
        <v>6592</v>
      </c>
      <c r="C67" s="97">
        <v>1266.5</v>
      </c>
      <c r="D67" s="97">
        <v>8000</v>
      </c>
      <c r="E67" s="97" t="s">
        <v>4216</v>
      </c>
      <c r="F67" s="97">
        <v>1301</v>
      </c>
      <c r="G67" s="97">
        <v>8000</v>
      </c>
      <c r="H67" s="97"/>
      <c r="I67" s="97"/>
      <c r="J67" s="97"/>
      <c r="K67" s="97"/>
      <c r="L67" s="345">
        <v>146805</v>
      </c>
      <c r="M67" s="345">
        <f>L67/2</f>
        <v>73402.5</v>
      </c>
      <c r="N67" s="97" t="s">
        <v>6593</v>
      </c>
      <c r="P67" t="s">
        <v>25</v>
      </c>
      <c r="Q67" s="94"/>
      <c r="R67" s="94"/>
      <c r="S67" s="94"/>
    </row>
    <row r="68" spans="1:20" ht="30">
      <c r="A68" s="36" t="s">
        <v>6607</v>
      </c>
      <c r="B68" s="97" t="s">
        <v>6592</v>
      </c>
      <c r="C68" s="97" t="s">
        <v>6608</v>
      </c>
      <c r="D68" s="97">
        <v>21000</v>
      </c>
      <c r="E68" s="97" t="s">
        <v>4216</v>
      </c>
      <c r="F68" s="97">
        <v>1312</v>
      </c>
      <c r="G68" s="97">
        <v>21000</v>
      </c>
      <c r="H68" s="97"/>
      <c r="I68" s="97"/>
      <c r="J68" s="97"/>
      <c r="K68" s="97"/>
      <c r="L68" s="345">
        <v>345822</v>
      </c>
      <c r="M68" s="345">
        <f>L68/2</f>
        <v>172911</v>
      </c>
      <c r="N68" s="97" t="s">
        <v>6609</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6487</v>
      </c>
      <c r="B72" s="97"/>
      <c r="C72" s="97" t="s">
        <v>920</v>
      </c>
      <c r="D72" s="97" t="s">
        <v>933</v>
      </c>
      <c r="E72" s="97" t="s">
        <v>920</v>
      </c>
      <c r="F72" s="97" t="s">
        <v>933</v>
      </c>
      <c r="G72" s="97" t="s">
        <v>936</v>
      </c>
      <c r="H72" s="97" t="s">
        <v>5</v>
      </c>
      <c r="I72" s="97" t="s">
        <v>6603</v>
      </c>
      <c r="J72" s="97"/>
      <c r="K72" s="97"/>
      <c r="L72" s="97"/>
      <c r="M72" s="97"/>
      <c r="N72" s="97"/>
      <c r="Q72" s="94"/>
      <c r="R72" s="94"/>
      <c r="S72" s="94"/>
      <c r="T72" s="94"/>
    </row>
    <row r="73" spans="1:20">
      <c r="A73" s="97" t="s">
        <v>6486</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6492</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6584</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6584</v>
      </c>
      <c r="B76" s="20" t="s">
        <v>4216</v>
      </c>
      <c r="C76" s="20">
        <v>28000</v>
      </c>
      <c r="D76" s="20">
        <v>1302</v>
      </c>
      <c r="E76" s="20">
        <v>28000</v>
      </c>
      <c r="F76" s="20">
        <v>1345</v>
      </c>
      <c r="G76" s="93">
        <v>737130</v>
      </c>
      <c r="H76" s="93">
        <f>G76/2</f>
        <v>368565</v>
      </c>
      <c r="I76" s="20" t="s">
        <v>6589</v>
      </c>
      <c r="J76" s="20"/>
      <c r="K76" s="97"/>
      <c r="L76" s="97"/>
      <c r="M76" s="97"/>
      <c r="N76" s="97"/>
      <c r="P76" s="94"/>
      <c r="Q76" s="94"/>
      <c r="R76" s="94"/>
      <c r="S76" s="94"/>
      <c r="T76" s="94"/>
    </row>
    <row r="77" spans="1:20">
      <c r="A77" s="159" t="s">
        <v>6589</v>
      </c>
      <c r="B77" s="159" t="s">
        <v>4216</v>
      </c>
      <c r="C77" s="159">
        <v>28000</v>
      </c>
      <c r="D77" s="159">
        <v>1306.5</v>
      </c>
      <c r="E77" s="159">
        <v>28000</v>
      </c>
      <c r="F77" s="159">
        <v>1358.5</v>
      </c>
      <c r="G77" s="159">
        <v>985488</v>
      </c>
      <c r="H77" s="159">
        <f>G77/2</f>
        <v>492744</v>
      </c>
      <c r="I77" s="97" t="s">
        <v>6602</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6611</v>
      </c>
      <c r="B80" s="273" t="s">
        <v>4216</v>
      </c>
      <c r="C80" s="274">
        <v>1504</v>
      </c>
      <c r="D80" s="273">
        <v>7754</v>
      </c>
      <c r="E80" s="348" t="s">
        <v>1068</v>
      </c>
      <c r="F80" s="44">
        <v>115435.1</v>
      </c>
      <c r="G80" s="348">
        <f>C80*D80*0.99114/(F80*1.00125)</f>
        <v>100.00649900224266</v>
      </c>
      <c r="H80" s="195">
        <f>C80/F80</f>
        <v>1.3028966059716672E-2</v>
      </c>
      <c r="I80" s="349">
        <f>$R$31/$R$37</f>
        <v>1.2541666666666666E-2</v>
      </c>
      <c r="J80" s="20">
        <f>I80/H80</f>
        <v>0.96259876717641835</v>
      </c>
      <c r="K80" s="20">
        <f>(1/J80-1.015155)*100</f>
        <v>2.3699436655149952</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1.2541666666666666E-2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1.2541666666666666E-2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1450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700</v>
      </c>
      <c r="C86" s="94">
        <f>$B$84-B86</f>
        <v>750</v>
      </c>
      <c r="D86" s="94">
        <f>(A86-C86)*100/C86</f>
        <v>20</v>
      </c>
      <c r="E86" s="94"/>
      <c r="P86" s="94"/>
      <c r="Q86" s="94" t="s">
        <v>25</v>
      </c>
      <c r="R86" s="112" t="s">
        <v>25</v>
      </c>
      <c r="S86" s="94" t="s">
        <v>25</v>
      </c>
      <c r="T86" s="94"/>
    </row>
    <row r="87" spans="1:26">
      <c r="A87" s="94">
        <v>1000</v>
      </c>
      <c r="B87" s="94">
        <v>650</v>
      </c>
      <c r="C87" s="470">
        <f t="shared" ref="C87:C89" si="82">$B$84-B87</f>
        <v>800</v>
      </c>
      <c r="D87" s="470">
        <f t="shared" ref="D87:D89" si="83">(A87-C87)*100/C87</f>
        <v>25</v>
      </c>
      <c r="E87" s="94"/>
      <c r="O87" s="94"/>
      <c r="P87" s="94"/>
      <c r="Q87" s="94" t="s">
        <v>25</v>
      </c>
      <c r="R87" s="112" t="s">
        <v>25</v>
      </c>
      <c r="S87" s="94" t="s">
        <v>25</v>
      </c>
      <c r="T87" s="94"/>
    </row>
    <row r="88" spans="1:26">
      <c r="A88" s="94">
        <v>1200</v>
      </c>
      <c r="B88" s="94">
        <v>500</v>
      </c>
      <c r="C88" s="470">
        <f t="shared" si="82"/>
        <v>950</v>
      </c>
      <c r="D88" s="470">
        <f t="shared" si="83"/>
        <v>26.315789473684209</v>
      </c>
      <c r="E88" s="94"/>
      <c r="O88" s="94"/>
      <c r="P88" s="94"/>
      <c r="Q88" s="94" t="s">
        <v>25</v>
      </c>
      <c r="R88" s="112"/>
      <c r="S88" s="120" t="s">
        <v>25</v>
      </c>
      <c r="T88" s="94"/>
    </row>
    <row r="89" spans="1:26">
      <c r="A89" s="94">
        <v>1400</v>
      </c>
      <c r="B89">
        <v>170</v>
      </c>
      <c r="C89" s="470">
        <f t="shared" si="82"/>
        <v>1280</v>
      </c>
      <c r="D89" s="470">
        <f t="shared" si="83"/>
        <v>9.375</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7077</v>
      </c>
      <c r="B101">
        <v>10330</v>
      </c>
      <c r="C101">
        <v>11900</v>
      </c>
      <c r="D101" s="112">
        <f>B101*$D$99</f>
        <v>289240000</v>
      </c>
      <c r="E101" s="112">
        <f>C101*$D$99</f>
        <v>333200000</v>
      </c>
      <c r="F101" s="112">
        <v>440000000</v>
      </c>
      <c r="G101">
        <f>(F101-E101)*100/E101</f>
        <v>32.052821128451377</v>
      </c>
      <c r="O101" s="94" t="s">
        <v>25</v>
      </c>
      <c r="P101" s="94" t="s">
        <v>25</v>
      </c>
    </row>
    <row r="102" spans="1:27">
      <c r="A102" s="94" t="s">
        <v>7078</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7079</v>
      </c>
      <c r="C103">
        <v>19000</v>
      </c>
      <c r="D103" s="112">
        <f t="shared" si="84"/>
        <v>0</v>
      </c>
      <c r="E103" s="112">
        <f t="shared" si="85"/>
        <v>532000000</v>
      </c>
      <c r="F103" s="112">
        <v>650000000</v>
      </c>
      <c r="G103" s="469">
        <f t="shared" si="86"/>
        <v>22.180451127819548</v>
      </c>
      <c r="O103" s="94"/>
      <c r="P103" s="94" t="s">
        <v>25</v>
      </c>
    </row>
    <row r="104" spans="1:27">
      <c r="A104" s="94" t="s">
        <v>7080</v>
      </c>
      <c r="C104">
        <v>23000</v>
      </c>
      <c r="D104" s="112">
        <f t="shared" si="84"/>
        <v>0</v>
      </c>
      <c r="E104" s="112">
        <f t="shared" si="85"/>
        <v>644000000</v>
      </c>
      <c r="F104" s="112">
        <v>930000000</v>
      </c>
      <c r="G104" s="469">
        <f t="shared" si="86"/>
        <v>44.409937888198755</v>
      </c>
      <c r="O104" s="94"/>
      <c r="P104" s="94" t="s">
        <v>25</v>
      </c>
      <c r="Q104" t="s">
        <v>25</v>
      </c>
    </row>
    <row r="105" spans="1:27">
      <c r="A105" s="94" t="s">
        <v>7081</v>
      </c>
      <c r="C105">
        <v>13000</v>
      </c>
      <c r="D105" s="112">
        <f t="shared" si="84"/>
        <v>0</v>
      </c>
      <c r="E105" s="112">
        <f t="shared" si="85"/>
        <v>364000000</v>
      </c>
      <c r="F105" s="112">
        <v>600000000</v>
      </c>
      <c r="G105" s="469">
        <f t="shared" si="86"/>
        <v>64.835164835164832</v>
      </c>
      <c r="O105" s="94"/>
      <c r="P105" s="94" t="s">
        <v>25</v>
      </c>
    </row>
    <row r="106" spans="1:27">
      <c r="A106" s="94" t="s">
        <v>7082</v>
      </c>
      <c r="C106">
        <v>13000</v>
      </c>
      <c r="D106" s="112">
        <f t="shared" si="84"/>
        <v>0</v>
      </c>
      <c r="E106" s="112">
        <f t="shared" si="85"/>
        <v>364000000</v>
      </c>
      <c r="F106" s="112">
        <v>400000000</v>
      </c>
      <c r="G106" s="469">
        <f t="shared" si="86"/>
        <v>9.8901098901098905</v>
      </c>
      <c r="O106" s="94"/>
      <c r="R106" t="s">
        <v>25</v>
      </c>
    </row>
    <row r="107" spans="1:27">
      <c r="A107" s="94" t="s">
        <v>7083</v>
      </c>
      <c r="C107">
        <v>13600</v>
      </c>
      <c r="D107" s="112">
        <f t="shared" si="84"/>
        <v>0</v>
      </c>
      <c r="E107" s="112">
        <f t="shared" si="85"/>
        <v>380800000</v>
      </c>
      <c r="F107" s="112">
        <v>520000000</v>
      </c>
      <c r="G107" s="469">
        <f t="shared" si="86"/>
        <v>36.554621848739494</v>
      </c>
      <c r="P107" t="s">
        <v>25</v>
      </c>
      <c r="Z107" t="s">
        <v>25</v>
      </c>
    </row>
    <row r="108" spans="1:27">
      <c r="A108" s="94" t="s">
        <v>7084</v>
      </c>
      <c r="C108">
        <v>28000</v>
      </c>
      <c r="D108" s="112">
        <f t="shared" si="84"/>
        <v>0</v>
      </c>
      <c r="E108" s="112">
        <f t="shared" si="85"/>
        <v>784000000</v>
      </c>
      <c r="F108" s="112">
        <v>900000000</v>
      </c>
      <c r="G108" s="469">
        <f t="shared" si="86"/>
        <v>14.795918367346939</v>
      </c>
    </row>
    <row r="109" spans="1:27">
      <c r="A109" s="94" t="s">
        <v>7085</v>
      </c>
      <c r="C109">
        <v>19000</v>
      </c>
      <c r="D109" s="112">
        <f t="shared" si="84"/>
        <v>0</v>
      </c>
      <c r="E109" s="112">
        <f t="shared" si="85"/>
        <v>532000000</v>
      </c>
      <c r="F109" s="112">
        <v>700000000</v>
      </c>
      <c r="G109" s="469">
        <f t="shared" si="86"/>
        <v>31.578947368421051</v>
      </c>
      <c r="O109" t="s">
        <v>25</v>
      </c>
    </row>
    <row r="110" spans="1:27">
      <c r="A110" s="94" t="s">
        <v>7086</v>
      </c>
      <c r="C110">
        <v>15000</v>
      </c>
      <c r="D110" s="112">
        <f t="shared" si="84"/>
        <v>0</v>
      </c>
      <c r="E110" s="112">
        <f t="shared" si="85"/>
        <v>420000000</v>
      </c>
      <c r="F110" s="112">
        <v>700000000</v>
      </c>
      <c r="G110" s="469">
        <f t="shared" si="86"/>
        <v>66.666666666666671</v>
      </c>
    </row>
    <row r="111" spans="1:27">
      <c r="A111" s="94" t="s">
        <v>7087</v>
      </c>
      <c r="C111">
        <v>21000</v>
      </c>
      <c r="D111" s="112">
        <f t="shared" si="84"/>
        <v>0</v>
      </c>
      <c r="E111" s="112">
        <f t="shared" si="85"/>
        <v>588000000</v>
      </c>
      <c r="F111" s="112">
        <v>700000000</v>
      </c>
      <c r="G111" s="469">
        <f t="shared" si="86"/>
        <v>19.047619047619047</v>
      </c>
      <c r="P111" t="s">
        <v>25</v>
      </c>
    </row>
    <row r="112" spans="1:27">
      <c r="A112" s="94" t="s">
        <v>7088</v>
      </c>
      <c r="C112">
        <v>17000</v>
      </c>
      <c r="D112" s="112">
        <f t="shared" si="84"/>
        <v>0</v>
      </c>
      <c r="E112" s="112">
        <f t="shared" si="85"/>
        <v>476000000</v>
      </c>
      <c r="F112" s="112">
        <v>700000000</v>
      </c>
      <c r="G112" s="469">
        <f t="shared" si="86"/>
        <v>47.058823529411768</v>
      </c>
      <c r="O112" t="s">
        <v>25</v>
      </c>
      <c r="P112" t="s">
        <v>25</v>
      </c>
    </row>
    <row r="113" spans="1:19">
      <c r="A113" t="s">
        <v>7089</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6504</v>
      </c>
      <c r="C1" s="471"/>
      <c r="D1" s="471" t="s">
        <v>6505</v>
      </c>
      <c r="E1" s="471"/>
      <c r="G1" s="22"/>
      <c r="R1" s="97" t="s">
        <v>5516</v>
      </c>
      <c r="S1" s="97"/>
      <c r="T1" s="97" t="s">
        <v>933</v>
      </c>
      <c r="U1" s="97" t="s">
        <v>6495</v>
      </c>
      <c r="V1" s="97"/>
      <c r="W1" s="97" t="s">
        <v>933</v>
      </c>
      <c r="X1" s="97" t="s">
        <v>6496</v>
      </c>
      <c r="Y1" s="97"/>
      <c r="Z1" s="97" t="s">
        <v>936</v>
      </c>
      <c r="AA1" s="97" t="s">
        <v>5</v>
      </c>
      <c r="AB1" s="97" t="s">
        <v>6497</v>
      </c>
      <c r="AC1" s="342"/>
      <c r="AD1" s="342" t="s">
        <v>6498</v>
      </c>
    </row>
    <row r="2" spans="1:30">
      <c r="A2" s="329" t="s">
        <v>3623</v>
      </c>
      <c r="B2" s="329" t="s">
        <v>180</v>
      </c>
      <c r="C2" s="329" t="s">
        <v>6506</v>
      </c>
      <c r="D2" s="329" t="s">
        <v>6507</v>
      </c>
      <c r="E2" s="329" t="s">
        <v>6508</v>
      </c>
      <c r="F2" s="329" t="s">
        <v>5309</v>
      </c>
      <c r="G2" s="22"/>
      <c r="H2" s="329" t="s">
        <v>4116</v>
      </c>
      <c r="I2" s="329" t="s">
        <v>5</v>
      </c>
      <c r="R2" s="97" t="s">
        <v>5506</v>
      </c>
      <c r="S2" s="97" t="s">
        <v>6494</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6574</v>
      </c>
      <c r="C3" s="338" t="s">
        <v>6575</v>
      </c>
      <c r="D3" s="338">
        <v>0</v>
      </c>
      <c r="E3" s="338">
        <v>426136788</v>
      </c>
      <c r="F3" s="338">
        <v>1153060652</v>
      </c>
      <c r="G3" s="22"/>
      <c r="H3" s="112">
        <v>1230000</v>
      </c>
      <c r="I3" s="112">
        <f>H3/2</f>
        <v>615000</v>
      </c>
      <c r="J3" s="341" t="s">
        <v>6577</v>
      </c>
      <c r="R3" s="271" t="s">
        <v>5729</v>
      </c>
      <c r="S3" s="340"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2"/>
      <c r="AD3" s="342"/>
    </row>
    <row r="4" spans="1:30" s="341" customFormat="1">
      <c r="A4" s="343">
        <v>3</v>
      </c>
      <c r="B4" s="343" t="s">
        <v>6574</v>
      </c>
      <c r="C4" s="343" t="s">
        <v>6576</v>
      </c>
      <c r="D4" s="343">
        <v>0</v>
      </c>
      <c r="E4" s="343">
        <v>259688196</v>
      </c>
      <c r="F4" s="343">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2"/>
      <c r="AD4" s="342"/>
    </row>
    <row r="5" spans="1:30">
      <c r="A5" s="339"/>
      <c r="B5" s="330" t="s">
        <v>6509</v>
      </c>
      <c r="C5" s="330" t="s">
        <v>6510</v>
      </c>
      <c r="D5" s="330">
        <v>0</v>
      </c>
      <c r="E5" s="330">
        <v>1545379960</v>
      </c>
      <c r="F5" s="330">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2"/>
      <c r="AD5" s="342"/>
    </row>
    <row r="6" spans="1:30">
      <c r="A6" s="329"/>
      <c r="B6" s="331" t="s">
        <v>6509</v>
      </c>
      <c r="C6" s="331" t="s">
        <v>6511</v>
      </c>
      <c r="D6" s="331">
        <v>0</v>
      </c>
      <c r="E6" s="331">
        <v>32194843</v>
      </c>
      <c r="F6" s="331">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2"/>
      <c r="AD6" s="342"/>
    </row>
    <row r="7" spans="1:30">
      <c r="A7" s="339"/>
      <c r="B7" s="330" t="s">
        <v>6509</v>
      </c>
      <c r="C7" s="330" t="s">
        <v>6512</v>
      </c>
      <c r="D7" s="330">
        <v>1350757853</v>
      </c>
      <c r="E7" s="330">
        <v>0</v>
      </c>
      <c r="F7" s="330">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2"/>
      <c r="AD7" s="342"/>
    </row>
    <row r="8" spans="1:30" ht="30">
      <c r="A8" s="41">
        <v>1</v>
      </c>
      <c r="B8" s="331" t="s">
        <v>6513</v>
      </c>
      <c r="C8" s="331" t="s">
        <v>6514</v>
      </c>
      <c r="D8" s="331">
        <v>0</v>
      </c>
      <c r="E8" s="331">
        <v>417254126</v>
      </c>
      <c r="F8" s="331">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2"/>
      <c r="AD8" s="342"/>
    </row>
    <row r="9" spans="1:30">
      <c r="A9" s="41">
        <v>2</v>
      </c>
      <c r="B9" s="331" t="s">
        <v>6513</v>
      </c>
      <c r="C9" s="331" t="s">
        <v>6516</v>
      </c>
      <c r="D9" s="331">
        <v>417153593</v>
      </c>
      <c r="E9" s="331">
        <v>0</v>
      </c>
      <c r="F9" s="331">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2"/>
      <c r="AD9" s="342" t="s">
        <v>25</v>
      </c>
    </row>
    <row r="10" spans="1:30">
      <c r="A10" s="41">
        <v>3</v>
      </c>
      <c r="B10" s="330" t="s">
        <v>6517</v>
      </c>
      <c r="C10" s="332" t="s">
        <v>6518</v>
      </c>
      <c r="D10" s="332">
        <v>0</v>
      </c>
      <c r="E10" s="332">
        <v>234963645</v>
      </c>
      <c r="F10" s="332">
        <v>235147671</v>
      </c>
      <c r="G10" s="22"/>
      <c r="H10" s="112"/>
      <c r="I10" s="112"/>
      <c r="R10" s="342"/>
      <c r="S10" s="342"/>
      <c r="T10" s="342"/>
      <c r="U10" s="342"/>
      <c r="V10" s="342"/>
      <c r="W10" s="342"/>
      <c r="X10" s="342"/>
      <c r="Y10" s="342"/>
      <c r="Z10" s="342"/>
    </row>
    <row r="11" spans="1:30">
      <c r="A11" s="331">
        <v>4</v>
      </c>
      <c r="B11" s="331" t="s">
        <v>6517</v>
      </c>
      <c r="C11" s="331" t="s">
        <v>6519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6517</v>
      </c>
      <c r="C12" s="331" t="s">
        <v>6520</v>
      </c>
      <c r="D12" s="332">
        <v>605852453</v>
      </c>
      <c r="E12" s="332">
        <v>0</v>
      </c>
      <c r="F12" s="332">
        <v>6381</v>
      </c>
      <c r="G12" s="22" t="s">
        <v>6521</v>
      </c>
      <c r="H12" s="112"/>
      <c r="I12" s="112"/>
      <c r="R12" s="342"/>
      <c r="S12" s="342"/>
      <c r="T12" s="342"/>
      <c r="U12" s="342"/>
      <c r="V12" s="342"/>
      <c r="W12" s="342"/>
      <c r="X12" s="342"/>
      <c r="Y12" s="342"/>
      <c r="Z12" s="342"/>
    </row>
    <row r="13" spans="1:30">
      <c r="A13" s="41">
        <v>11</v>
      </c>
      <c r="B13" s="41" t="s">
        <v>6363</v>
      </c>
      <c r="C13" s="41" t="s">
        <v>6522</v>
      </c>
      <c r="D13" s="41">
        <v>88258180</v>
      </c>
      <c r="E13" s="41">
        <v>0</v>
      </c>
      <c r="F13" s="41">
        <v>184108</v>
      </c>
      <c r="G13" s="22" t="s">
        <v>6523</v>
      </c>
      <c r="H13" s="112"/>
      <c r="I13" s="112"/>
      <c r="R13" s="342"/>
      <c r="S13" s="342"/>
      <c r="T13" s="342"/>
      <c r="U13" s="342"/>
      <c r="V13" s="342"/>
      <c r="W13" s="342"/>
      <c r="X13" s="342"/>
      <c r="Y13" s="342"/>
      <c r="Z13" s="342"/>
    </row>
    <row r="14" spans="1:30">
      <c r="A14" s="333">
        <v>12</v>
      </c>
      <c r="B14" s="333" t="s">
        <v>6524</v>
      </c>
      <c r="C14" s="333" t="s">
        <v>6525</v>
      </c>
      <c r="D14" s="333">
        <v>0</v>
      </c>
      <c r="E14" s="333">
        <v>88371992</v>
      </c>
      <c r="F14" s="333">
        <v>88442288</v>
      </c>
      <c r="G14" s="22"/>
      <c r="H14" s="112"/>
      <c r="I14" s="112"/>
    </row>
    <row r="15" spans="1:30">
      <c r="A15" s="334">
        <v>15</v>
      </c>
      <c r="B15" s="330" t="s">
        <v>6526</v>
      </c>
      <c r="C15" s="334" t="s">
        <v>6527</v>
      </c>
      <c r="D15" s="334">
        <v>0</v>
      </c>
      <c r="E15" s="334">
        <v>446040000</v>
      </c>
      <c r="F15" s="334">
        <v>455337264</v>
      </c>
      <c r="G15" s="22"/>
      <c r="H15" s="112"/>
      <c r="I15" s="112"/>
    </row>
    <row r="16" spans="1:30">
      <c r="A16" s="41">
        <v>16</v>
      </c>
      <c r="B16" s="41" t="s">
        <v>6526</v>
      </c>
      <c r="C16" s="41" t="s">
        <v>6528</v>
      </c>
      <c r="D16" s="41">
        <v>0</v>
      </c>
      <c r="E16" s="41">
        <v>5458523</v>
      </c>
      <c r="F16" s="41">
        <v>460795787</v>
      </c>
      <c r="G16" s="22"/>
      <c r="H16" s="112"/>
      <c r="I16" s="112"/>
    </row>
    <row r="17" spans="1:9">
      <c r="A17" s="334">
        <v>17</v>
      </c>
      <c r="B17" s="330" t="s">
        <v>6526</v>
      </c>
      <c r="C17" s="334" t="s">
        <v>6529</v>
      </c>
      <c r="D17" s="334">
        <v>460784299</v>
      </c>
      <c r="E17" s="334">
        <v>0</v>
      </c>
      <c r="F17" s="334">
        <v>11488</v>
      </c>
      <c r="G17" s="22"/>
      <c r="H17" s="112"/>
      <c r="I17" s="112"/>
    </row>
    <row r="18" spans="1:9">
      <c r="A18" s="335">
        <v>19</v>
      </c>
      <c r="B18" s="330" t="s">
        <v>6530</v>
      </c>
      <c r="C18" s="335" t="s">
        <v>6531</v>
      </c>
      <c r="D18" s="335">
        <v>0</v>
      </c>
      <c r="E18" s="335">
        <v>236896800</v>
      </c>
      <c r="F18" s="335">
        <v>247051542</v>
      </c>
      <c r="G18" s="22"/>
      <c r="H18" s="112"/>
      <c r="I18" s="112"/>
    </row>
    <row r="19" spans="1:9">
      <c r="A19" s="335">
        <v>22</v>
      </c>
      <c r="B19" s="330" t="s">
        <v>6530</v>
      </c>
      <c r="C19" s="335" t="s">
        <v>6532</v>
      </c>
      <c r="D19" s="335">
        <v>244418699</v>
      </c>
      <c r="E19" s="335">
        <v>0</v>
      </c>
      <c r="F19" s="335">
        <v>8048350</v>
      </c>
      <c r="G19" s="22"/>
      <c r="H19" s="112"/>
      <c r="I19" s="112"/>
    </row>
    <row r="20" spans="1:9">
      <c r="A20" s="336">
        <v>23</v>
      </c>
      <c r="B20" s="330" t="s">
        <v>6533</v>
      </c>
      <c r="C20" s="336" t="s">
        <v>6534</v>
      </c>
      <c r="D20" s="336">
        <v>0</v>
      </c>
      <c r="E20" s="336">
        <v>230286491</v>
      </c>
      <c r="F20" s="336">
        <v>238422914</v>
      </c>
      <c r="G20" s="22"/>
      <c r="H20" s="112"/>
      <c r="I20" s="112"/>
    </row>
    <row r="21" spans="1:9">
      <c r="A21" s="336">
        <v>24</v>
      </c>
      <c r="B21" s="330" t="s">
        <v>6533</v>
      </c>
      <c r="C21" s="336" t="s">
        <v>6535</v>
      </c>
      <c r="D21" s="336">
        <v>228268172</v>
      </c>
      <c r="E21" s="336">
        <v>0</v>
      </c>
      <c r="F21" s="336">
        <v>10154742</v>
      </c>
      <c r="G21" s="22"/>
      <c r="H21" s="112"/>
      <c r="I21" s="112"/>
    </row>
    <row r="22" spans="1:9">
      <c r="A22" s="337">
        <v>25</v>
      </c>
      <c r="B22" s="330" t="s">
        <v>6536</v>
      </c>
      <c r="C22" s="337" t="s">
        <v>6537</v>
      </c>
      <c r="D22" s="337">
        <v>0</v>
      </c>
      <c r="E22" s="337">
        <v>222228038</v>
      </c>
      <c r="F22" s="337">
        <v>230347490</v>
      </c>
      <c r="G22" s="22"/>
      <c r="H22" s="112"/>
      <c r="I22" s="112"/>
    </row>
    <row r="23" spans="1:9">
      <c r="A23" s="337">
        <v>26</v>
      </c>
      <c r="B23" s="330" t="s">
        <v>6536</v>
      </c>
      <c r="C23" s="337" t="s">
        <v>6538</v>
      </c>
      <c r="D23" s="337">
        <v>222211067</v>
      </c>
      <c r="E23" s="337">
        <v>0</v>
      </c>
      <c r="F23" s="337">
        <v>8136423</v>
      </c>
      <c r="G23" s="22"/>
      <c r="H23" s="112"/>
      <c r="I23" s="112"/>
    </row>
    <row r="24" spans="1:9">
      <c r="A24" s="338">
        <v>27</v>
      </c>
      <c r="B24" s="338" t="s">
        <v>6539</v>
      </c>
      <c r="C24" s="338" t="s">
        <v>6540</v>
      </c>
      <c r="D24" s="338">
        <v>0</v>
      </c>
      <c r="E24" s="338">
        <v>396757423</v>
      </c>
      <c r="F24" s="338">
        <v>404903981</v>
      </c>
      <c r="G24" s="22"/>
      <c r="H24" s="112"/>
      <c r="I24" s="112"/>
    </row>
    <row r="25" spans="1:9" ht="30">
      <c r="A25" s="338">
        <v>28</v>
      </c>
      <c r="B25" s="338" t="s">
        <v>6539</v>
      </c>
      <c r="C25" s="338" t="s">
        <v>6541</v>
      </c>
      <c r="D25" s="338">
        <v>396784529</v>
      </c>
      <c r="E25" s="338">
        <v>0</v>
      </c>
      <c r="F25" s="338">
        <v>8119452</v>
      </c>
      <c r="G25" s="22" t="s">
        <v>6542</v>
      </c>
      <c r="H25" s="112"/>
      <c r="I25" s="112"/>
    </row>
    <row r="26" spans="1:9">
      <c r="A26" s="41">
        <v>41</v>
      </c>
      <c r="B26" s="41" t="s">
        <v>6543</v>
      </c>
      <c r="C26" s="41" t="s">
        <v>6544</v>
      </c>
      <c r="D26" s="41">
        <v>9935956</v>
      </c>
      <c r="E26" s="41">
        <v>0</v>
      </c>
      <c r="F26" s="41">
        <v>4150875</v>
      </c>
      <c r="G26" s="22"/>
      <c r="H26" s="112"/>
      <c r="I26" s="112"/>
    </row>
    <row r="27" spans="1:9" ht="30">
      <c r="A27" s="333">
        <v>46</v>
      </c>
      <c r="B27" s="333" t="s">
        <v>6545</v>
      </c>
      <c r="C27" s="333" t="s">
        <v>6546</v>
      </c>
      <c r="D27" s="333">
        <v>13072</v>
      </c>
      <c r="E27" s="333">
        <v>0</v>
      </c>
      <c r="F27" s="333">
        <v>4639060</v>
      </c>
      <c r="G27" s="22" t="s">
        <v>6547</v>
      </c>
      <c r="H27" s="112"/>
      <c r="I27" s="112"/>
    </row>
    <row r="28" spans="1:9">
      <c r="A28" s="41">
        <v>59</v>
      </c>
      <c r="B28" s="41" t="s">
        <v>6548</v>
      </c>
      <c r="C28" s="41" t="s">
        <v>6549</v>
      </c>
      <c r="D28" s="41">
        <v>0</v>
      </c>
      <c r="E28" s="41">
        <v>2339234</v>
      </c>
      <c r="F28" s="41">
        <v>2355939</v>
      </c>
      <c r="G28" s="22"/>
      <c r="H28" s="112"/>
      <c r="I28" s="112"/>
    </row>
    <row r="29" spans="1:9">
      <c r="A29" s="334">
        <v>65</v>
      </c>
      <c r="B29" s="334" t="s">
        <v>6550</v>
      </c>
      <c r="C29" s="334" t="s">
        <v>6551</v>
      </c>
      <c r="D29" s="334">
        <v>0</v>
      </c>
      <c r="E29" s="334">
        <v>161458284</v>
      </c>
      <c r="F29" s="334">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4">
        <v>67</v>
      </c>
      <c r="B31" s="334" t="s">
        <v>6550</v>
      </c>
      <c r="C31" s="334" t="s">
        <v>6554</v>
      </c>
      <c r="D31" s="334">
        <v>151583610</v>
      </c>
      <c r="E31" s="334">
        <v>0</v>
      </c>
      <c r="F31" s="334">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6644</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6644</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6583</v>
      </c>
      <c r="X31" s="343">
        <v>9199190185</v>
      </c>
      <c r="Y31" s="343">
        <v>195</v>
      </c>
      <c r="Z31" s="343" t="s">
        <v>5210</v>
      </c>
      <c r="AA31" s="94" t="s">
        <v>6419</v>
      </c>
      <c r="AB31" s="94"/>
    </row>
    <row r="32" spans="5:35">
      <c r="R32" s="94"/>
      <c r="S32" s="94"/>
      <c r="T32" s="94"/>
      <c r="U32" s="94"/>
      <c r="V32" s="94"/>
      <c r="W32" s="343" t="s">
        <v>6986</v>
      </c>
      <c r="X32" s="94"/>
      <c r="Y32" s="94"/>
      <c r="Z32" s="343" t="s">
        <v>5210</v>
      </c>
      <c r="AA32" s="94" t="s">
        <v>6987</v>
      </c>
      <c r="AB32" s="94"/>
    </row>
    <row r="33" spans="18:28">
      <c r="R33" s="94"/>
      <c r="S33" s="94"/>
      <c r="T33" s="94"/>
      <c r="U33" s="94"/>
      <c r="V33" s="94"/>
      <c r="W33" s="343" t="s">
        <v>6988</v>
      </c>
      <c r="X33" s="343">
        <v>9304634309</v>
      </c>
      <c r="Y33" s="343">
        <v>150</v>
      </c>
      <c r="Z33" s="343" t="s">
        <v>6989</v>
      </c>
      <c r="AA33" s="94" t="s">
        <v>6985</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1471</v>
      </c>
      <c r="H4" s="115">
        <f>C4*G4</f>
        <v>433945000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466606461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1471</v>
      </c>
      <c r="H19" s="115">
        <f>C19*G19</f>
        <v>19028856</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325543184</v>
      </c>
    </row>
    <row r="26" spans="1:8">
      <c r="D26" t="s">
        <v>5391</v>
      </c>
      <c r="E26" s="112">
        <f>'خرید خانه'!H10+'خرید خانه'!H23-'خرید خانه'!D10-'خرید خانه'!D23</f>
        <v>490449645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2021-11-24T09:30:30Z</dcterms:modified>
</cp:coreProperties>
</file>