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516" i="18" l="1"/>
  <c r="O57" i="18"/>
  <c r="V146" i="18"/>
  <c r="W146" i="18" s="1"/>
  <c r="S146" i="18"/>
  <c r="R185" i="18"/>
  <c r="X146" i="18" l="1"/>
  <c r="S145" i="18"/>
  <c r="W515" i="18" l="1"/>
  <c r="S144" i="18"/>
  <c r="O60" i="18"/>
  <c r="S143" i="18" l="1"/>
  <c r="I31" i="63"/>
  <c r="G31" i="63"/>
  <c r="H31" i="63"/>
  <c r="O31" i="63"/>
  <c r="I29" i="63"/>
  <c r="I30" i="63"/>
  <c r="G30" i="63"/>
  <c r="H30" i="63"/>
  <c r="O30" i="63"/>
  <c r="N31" i="63" l="1"/>
  <c r="J31" i="63"/>
  <c r="K31" i="63" s="1"/>
  <c r="J30" i="63"/>
  <c r="K30" i="63" s="1"/>
  <c r="S75" i="18"/>
  <c r="O29" i="63"/>
  <c r="G29" i="63"/>
  <c r="H29" i="63"/>
  <c r="J29" i="63" l="1"/>
  <c r="K29" i="63" s="1"/>
  <c r="N30" i="63"/>
  <c r="W51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3"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9" i="18" l="1"/>
  <c r="W504" i="18"/>
  <c r="W505" i="18"/>
  <c r="W506" i="18"/>
  <c r="W507" i="18"/>
  <c r="W508" i="18"/>
  <c r="W510" i="18"/>
  <c r="W511" i="18"/>
  <c r="W512" i="18"/>
  <c r="W520" i="18"/>
  <c r="W521" i="18"/>
  <c r="W522" i="18"/>
  <c r="P25" i="63"/>
  <c r="O25" i="63"/>
  <c r="O26" i="63"/>
  <c r="O27" i="63"/>
  <c r="W503" i="18" l="1"/>
  <c r="H18" i="60" l="1"/>
  <c r="H19" i="60"/>
  <c r="H17" i="60"/>
  <c r="H16" i="60" l="1"/>
  <c r="M53" i="63"/>
  <c r="M52" i="63"/>
  <c r="F29" i="60"/>
  <c r="G6" i="60" l="1"/>
  <c r="H3" i="60" l="1"/>
  <c r="H4" i="60"/>
  <c r="H2" i="60"/>
  <c r="H62" i="63" l="1"/>
  <c r="W502" i="18" l="1"/>
  <c r="H61" i="63"/>
  <c r="N66" i="63"/>
  <c r="K113" i="18" l="1"/>
  <c r="M49" i="63" l="1"/>
  <c r="N52"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23"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0" i="18" s="1"/>
  <c r="N49"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9" i="18"/>
  <c r="R136" i="60" l="1"/>
  <c r="S137" i="60"/>
  <c r="W473" i="18"/>
  <c r="W472" i="18"/>
  <c r="W471" i="18"/>
  <c r="V553" i="18"/>
  <c r="V554" i="18"/>
  <c r="W475" i="18"/>
  <c r="W470" i="18"/>
  <c r="W469" i="18"/>
  <c r="P26" i="18"/>
  <c r="N26" i="18" s="1"/>
  <c r="N50" i="18"/>
  <c r="W389" i="18"/>
  <c r="R135" i="60" l="1"/>
  <c r="S136" i="60"/>
  <c r="S116" i="18"/>
  <c r="R134" i="60" l="1"/>
  <c r="S135" i="60"/>
  <c r="D2" i="60"/>
  <c r="O8" i="60"/>
  <c r="F2" i="60"/>
  <c r="R133" i="60" l="1"/>
  <c r="S134" i="60"/>
  <c r="W468" i="18"/>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V559" i="18"/>
  <c r="V558" i="18"/>
  <c r="V555" i="18"/>
  <c r="V557" i="18"/>
  <c r="V564" i="18"/>
  <c r="V556" i="18"/>
  <c r="S129" i="60" l="1"/>
  <c r="R128" i="60"/>
  <c r="X548" i="18"/>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8" i="18"/>
  <c r="AL487" i="18" s="1"/>
  <c r="O472" i="52"/>
  <c r="J472" i="52"/>
  <c r="S97" i="60" l="1"/>
  <c r="R96" i="60"/>
  <c r="AM487" i="18"/>
  <c r="AL486" i="18"/>
  <c r="AM488" i="18"/>
  <c r="R95" i="60" l="1"/>
  <c r="S96" i="60"/>
  <c r="AL485" i="18"/>
  <c r="AM486" i="18"/>
  <c r="AL471" i="18"/>
  <c r="R554" i="18"/>
  <c r="W438" i="18"/>
  <c r="W437" i="18"/>
  <c r="W436" i="18"/>
  <c r="W435" i="18"/>
  <c r="W43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8" i="18"/>
  <c r="W429" i="18"/>
  <c r="W430" i="18"/>
  <c r="W431" i="18"/>
  <c r="W432" i="18"/>
  <c r="W433" i="18"/>
  <c r="AM476" i="18" l="1"/>
  <c r="AL475" i="18"/>
  <c r="R86" i="60"/>
  <c r="S87" i="60"/>
  <c r="AL462" i="18"/>
  <c r="AM462" i="18" s="1"/>
  <c r="AM463" i="18"/>
  <c r="O454" i="52"/>
  <c r="J454" i="52"/>
  <c r="AL474" i="18" l="1"/>
  <c r="AM475" i="18"/>
  <c r="S86" i="60"/>
  <c r="R85" i="60"/>
  <c r="W427" i="18"/>
  <c r="AL473" i="18" l="1"/>
  <c r="AM474" i="18"/>
  <c r="S85" i="60"/>
  <c r="R84" i="60"/>
  <c r="AM473" i="18" l="1"/>
  <c r="AL472" i="18"/>
  <c r="AM472" i="18" s="1"/>
  <c r="R83" i="60"/>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V542"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4" i="18"/>
  <c r="L154" i="18"/>
  <c r="W348" i="18"/>
  <c r="AL214" i="18" l="1"/>
  <c r="AM214" i="18" s="1"/>
  <c r="AM215" i="18"/>
  <c r="AM456" i="18"/>
  <c r="AL455" i="18"/>
  <c r="W347" i="18"/>
  <c r="AL454" i="18" l="1"/>
  <c r="AM455" i="18"/>
  <c r="W34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5" i="18"/>
  <c r="AL448" i="18" l="1"/>
  <c r="AM449" i="18"/>
  <c r="G108" i="18"/>
  <c r="G107" i="18"/>
  <c r="W344" i="18"/>
  <c r="J347" i="52"/>
  <c r="AM448" i="18" l="1"/>
  <c r="AL447" i="18"/>
  <c r="L148" i="18"/>
  <c r="M148" i="18"/>
  <c r="M147" i="18"/>
  <c r="L147"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44" i="18" l="1"/>
  <c r="T546" i="18" s="1"/>
  <c r="D405" i="15"/>
  <c r="F406" i="15"/>
  <c r="W320" i="18"/>
  <c r="J296" i="52"/>
  <c r="D404" i="15" l="1"/>
  <c r="F405" i="15"/>
  <c r="J295" i="52"/>
  <c r="F404" i="15" l="1"/>
  <c r="D403" i="15"/>
  <c r="W31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1"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7" i="18"/>
  <c r="M108" i="18" s="1"/>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7"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9"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4" i="18"/>
  <c r="L110" i="18" l="1"/>
  <c r="N110" i="18" s="1"/>
  <c r="L111" i="18"/>
  <c r="N111" i="18" s="1"/>
  <c r="L109" i="18"/>
  <c r="N109" i="18" s="1"/>
  <c r="M114" i="18"/>
  <c r="AM336" i="18"/>
  <c r="AL335" i="18"/>
  <c r="L106" i="18"/>
  <c r="W206" i="18"/>
  <c r="W20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l="1"/>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91" i="18"/>
  <c r="AJ281" i="18"/>
  <c r="AJ282" i="18" s="1"/>
  <c r="G305" i="20"/>
  <c r="I306" i="20"/>
  <c r="K306" i="20"/>
  <c r="J306" i="20"/>
  <c r="AL74" i="18"/>
  <c r="AM75" i="18"/>
  <c r="T526" i="18" l="1"/>
  <c r="V529" i="18" s="1"/>
  <c r="U539" i="18"/>
  <c r="V539" i="18" s="1"/>
  <c r="G304" i="20"/>
  <c r="I305" i="20"/>
  <c r="K305" i="20"/>
  <c r="J305" i="20"/>
  <c r="AL73" i="18"/>
  <c r="AM74" i="18"/>
  <c r="R111" i="18"/>
  <c r="V144" i="18" l="1"/>
  <c r="V145" i="18"/>
  <c r="X144" i="18"/>
  <c r="W144" i="18"/>
  <c r="V75" i="18"/>
  <c r="W75" i="18" s="1"/>
  <c r="V143" i="18"/>
  <c r="V142" i="18"/>
  <c r="W142" i="18" s="1"/>
  <c r="V103" i="18"/>
  <c r="V141" i="18"/>
  <c r="V102" i="18"/>
  <c r="W102" i="18" s="1"/>
  <c r="V150" i="18"/>
  <c r="V151"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N36" i="18" s="1"/>
  <c r="L22" i="18" s="1"/>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5" i="18" l="1"/>
  <c r="X145" i="18"/>
  <c r="X75" i="18"/>
  <c r="W143" i="18"/>
  <c r="X143" i="18"/>
  <c r="X142" i="18"/>
  <c r="W141" i="18"/>
  <c r="X141" i="18"/>
  <c r="W103" i="18"/>
  <c r="X103" i="18"/>
  <c r="X102" i="18"/>
  <c r="X139" i="18"/>
  <c r="W150" i="18"/>
  <c r="X150" i="18"/>
  <c r="W151" i="18"/>
  <c r="X151"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39"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N61" i="18"/>
  <c r="I139" i="18"/>
  <c r="I140" i="18"/>
  <c r="G140"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<sst xmlns="http://schemas.openxmlformats.org/spreadsheetml/2006/main" count="16828" uniqueCount="7047">
  <si>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</si>
  <si>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</si>
  <si>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</si>
  <si>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</si>
  <si>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</si>
  <si>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</si>
  <si>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</si>
  <si>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</si>
  <si>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</si>
  <si>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</si>
  <si>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</si>
  <si>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</si>
  <si>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</si>
  <si>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</si>
  <si>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</si>
  <si>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</si>
  <si>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</si>
  <si>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</si>
  <si>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</si>
  <si>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</si>
  <si>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</si>
  <si>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</si>
  <si>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</si>
  <si>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</si>
  <si>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</si>
  <si>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</si>
  <si>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</si>
  <si>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</si>
  <si>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</si>
  <si>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</si>
  <si>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</si>
  <si>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</si>
  <si>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</si>
  <si>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</si>
  <si>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</si>
  <si>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</si>
  <si>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</si>
  <si>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</si>
  <si>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</si>
  <si>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</si>
  <si>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</si>
  <si>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</si>
  <si>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</si>
  <si>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</si>
  <si>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</si>
  <si>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</si>
  <si>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</si>
  <si>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</si>
  <si>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</si>
  <si>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</si>
  <si>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</si>
  <si>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</si>
  <si>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</si>
  <si>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</si>
  <si>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</si>
  <si>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</si>
  <si>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</si>
  <si>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</si>
  <si>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</si>
  <si>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</si>
  <si>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</si>
  <si>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</si>
  <si>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</si>
  <si>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</si>
  <si>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</si>
  <si>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</si>
  <si>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</si>
  <si>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</si>
  <si>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</si>
  <si>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</si>
  <si>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</si>
  <si>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</si>
  <si>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</si>
  <si>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</si>
  <si>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</si>
  <si>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</si>
  <si>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</si>
  <si>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</si>
  <si>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</si>
  <si>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</si>
  <si>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</si>
  <si>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</si>
  <si>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</si>
  <si>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</si>
  <si>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</si>
  <si>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</si>
  <si>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</si>
  <si>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</si>
  <si>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</si>
  <si>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</si>
  <si>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</si>
  <si>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</si>
  <si>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</si>
  <si>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</si>
  <si>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</si>
  <si>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</si>
  <si>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</si>
  <si>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</si>
  <si>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</si>
  <si>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</si>
  <si>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</si>
  <si>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</si>
  <si>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</si>
  <si>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</si>
  <si>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</si>
  <si>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</si>
  <si>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</si>
  <si>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</si>
  <si>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</si>
  <si>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</si>
  <si>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</si>
  <si>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</si>
  <si>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</si>
  <si>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</si>
  <si>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</si>
  <si>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</si>
  <si>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</si>
  <si>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</si>
  <si>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</si>
  <si>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</si>
  <si>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</si>
  <si>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</si>
  <si>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</si>
  <si>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</si>
  <si>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</si>
  <si>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</si>
  <si>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</si>
  <si>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</si>
  <si>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</si>
  <si>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</si>
  <si>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</si>
  <si>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</si>
  <si>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</si>
  <si>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</si>
  <si>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</si>
  <si>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</si>
  <si>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</si>
  <si>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</si>
  <si>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</si>
  <si>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</si>
  <si>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</si>
  <si>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</si>
  <si>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</si>
  <si>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</si>
  <si>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</si>
  <si>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</si>
  <si>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</si>
  <si>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</si>
  <si>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</si>
  <si>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</si>
  <si>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</si>
  <si>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</si>
  <si>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</si>
  <si>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</si>
  <si>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</si>
  <si>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</si>
  <si>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</si>
  <si>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</si>
  <si>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</si>
  <si>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</si>
  <si>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</si>
  <si>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</si>
  <si>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</si>
  <si>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</si>
  <si>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</si>
  <si>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</si>
  <si>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</si>
  <si>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</si>
  <si>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</si>
  <si>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</si>
  <si>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</si>
  <si>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</si>
  <si>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</si>
  <si>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</si>
  <si>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</si>
  <si>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</si>
  <si>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</si>
  <si>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</si>
  <si>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</si>
  <si>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</si>
  <si>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</si>
  <si>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</si>
  <si>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</si>
  <si>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</si>
  <si>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</si>
  <si>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</si>
  <si>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</si>
  <si>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</si>
  <si>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</si>
  <si>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</si>
  <si>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</si>
  <si>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</si>
  <si>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</si>
  <si>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</si>
  <si>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</si>
  <si>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</si>
  <si>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</si>
  <si>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</si>
  <si>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</si>
  <si>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</si>
  <si>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</si>
  <si>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</si>
  <si>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</si>
  <si>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</si>
  <si>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</si>
  <si>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</si>
  <si>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</si>
  <si>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</si>
  <si>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</si>
  <si>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</si>
  <si>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</si>
  <si>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</si>
  <si>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</si>
  <si>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</si>
  <si>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</si>
  <si>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</si>
  <si>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</si>
  <si>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</si>
  <si>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</si>
  <si>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</si>
  <si>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</si>
  <si>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</si>
  <si>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</si>
  <si>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</si>
  <si>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</si>
  <si>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</si>
  <si>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</si>
  <si>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</si>
  <si>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</si>
  <si>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</si>
  <si>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</si>
  <si>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</si>
  <si>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</si>
  <si>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</si>
  <si>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</si>
  <si>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</si>
  <si>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</si>
  <si>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</si>
  <si>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</si>
  <si>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</si>
  <si>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</si>
  <si>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</si>
  <si>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</si>
  <si>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</si>
  <si>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</si>
  <si>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</si>
  <si>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</si>
  <si>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</si>
  <si>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</si>
  <si>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</si>
  <si>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</si>
  <si>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</si>
  <si>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</si>
  <si>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</si>
  <si>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</si>
  <si>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</si>
  <si>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</si>
  <si>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</si>
  <si>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</si>
  <si>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</si>
  <si>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</si>
  <si>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</si>
  <si>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</si>
  <si>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</si>
  <si>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</si>
  <si>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</si>
  <si>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</si>
  <si>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</si>
  <si>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</si>
  <si>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</si>
  <si>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</si>
  <si>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</si>
  <si>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</si>
  <si>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</si>
  <si>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</si>
  <si>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</si>
  <si>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</si>
  <si>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</si>
  <si>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</si>
  <si>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</si>
  <si>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</si>
  <si>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</si>
  <si>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</si>
  <si>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</si>
  <si>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</si>
  <si>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</si>
  <si>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</si>
  <si>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</si>
  <si>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</si>
  <si>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</si>
  <si>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</si>
  <si>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</si>
  <si>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</si>
  <si>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</si>
  <si>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</si>
  <si>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</si>
  <si>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</si>
  <si>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</si>
  <si>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</si>
  <si>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</si>
  <si>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</si>
  <si>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</si>
  <si>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</si>
  <si>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</si>
  <si>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</si>
  <si>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</si>
  <si>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</si>
  <si>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</si>
  <si>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</si>
  <si>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</si>
  <si>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</si>
  <si>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</si>
  <si>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</si>
  <si>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</si>
  <si>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</si>
  <si>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</si>
  <si>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</si>
  <si>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</si>
  <si>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</si>
  <si>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</si>
  <si>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</si>
  <si>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</si>
  <si>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</si>
  <si>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</si>
  <si>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</si>
  <si>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</si>
  <si>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</si>
  <si>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</si>
  <si>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</si>
  <si>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</si>
  <si>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</si>
  <si>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</si>
  <si>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</si>
  <si>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</si>
  <si>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</si>
  <si>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</si>
  <si>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</si>
  <si>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</si>
  <si>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</si>
  <si>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</si>
  <si>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</si>
  <si>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</si>
  <si>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</si>
  <si>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</si>
  <si>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</si>
  <si>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</si>
  <si>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</si>
  <si>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</si>
  <si>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</si>
  <si>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</si>
  <si>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</si>
  <si>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</si>
  <si>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</si>
  <si>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</si>
  <si>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</si>
  <si>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</si>
  <si>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</si>
  <si>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</si>
  <si>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</si>
  <si>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</si>
  <si>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</si>
  <si>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</si>
  <si>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</si>
  <si>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</si>
  <si>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</si>
  <si>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</si>
  <si>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</si>
  <si>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</si>
  <si>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</si>
  <si>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</si>
  <si>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</si>
  <si>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</si>
  <si>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</si>
  <si>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</si>
  <si>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</si>
  <si>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</si>
  <si>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</si>
  <si>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</si>
  <si>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</si>
  <si>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</si>
  <si>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</si>
  <si>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</si>
  <si>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</si>
  <si>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</si>
  <si>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</si>
  <si>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</si>
  <si>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</si>
  <si>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</si>
  <si>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</si>
  <si>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</si>
  <si>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</si>
  <si>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</si>
  <si>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</si>
  <si>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</si>
  <si>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</si>
  <si>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</si>
  <si>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</si>
  <si>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</si>
  <si>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</si>
  <si>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</si>
  <si>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</si>
  <si>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</si>
  <si>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</si>
  <si>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</si>
  <si>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</si>
  <si>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</si>
  <si>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</si>
  <si>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</si>
  <si>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</si>
  <si>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</si>
  <si>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</si>
  <si>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</si>
  <si>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</si>
  <si>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</si>
  <si>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</si>
  <si>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</si>
  <si>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</si>
  <si>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</si>
  <si>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</si>
  <si>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</si>
  <si>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</si>
  <si>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</si>
  <si>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</si>
  <si>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</si>
  <si>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</si>
  <si>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</si>
  <si>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</si>
  <si>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</si>
  <si>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</si>
  <si>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</si>
  <si>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</si>
  <si>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</si>
  <si>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</si>
  <si>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</si>
  <si>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</si>
  <si>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</si>
  <si>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</si>
  <si>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</si>
  <si>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</si>
  <si>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</si>
  <si>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</si>
  <si>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</si>
  <si>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</si>
  <si>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</si>
  <si>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</si>
  <si>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</si>
  <si>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</si>
  <si>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</si>
  <si>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</si>
  <si>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</si>
  <si>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</si>
  <si>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</si>
  <si>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</si>
  <si>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</si>
  <si>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</si>
  <si>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</si>
  <si>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</si>
  <si>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</si>
  <si>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</si>
  <si>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</si>
  <si>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</si>
  <si>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</si>
  <si>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</si>
  <si>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</si>
  <si>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</si>
  <si>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</si>
  <si>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</si>
  <si>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</si>
  <si>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</si>
  <si>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</si>
  <si>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</si>
  <si>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</si>
  <si>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</si>
  <si>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</si>
  <si>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</si>
  <si>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</si>
  <si>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</si>
  <si>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</si>
  <si>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</si>
  <si>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</si>
  <si>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</si>
  <si>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</si>
  <si>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</si>
  <si>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</si>
  <si>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</si>
  <si>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</si>
  <si>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</si>
  <si>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</si>
  <si>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</si>
  <si>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</si>
  <si>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</si>
  <si>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</si>
  <si>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</si>
  <si>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</si>
  <si>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</si>
  <si>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</si>
  <si>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</si>
  <si>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</si>
  <si>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</si>
  <si>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</si>
  <si>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</si>
  <si>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</si>
  <si>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</si>
  <si>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</si>
  <si>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</si>
  <si>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</si>
  <si>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</si>
  <si>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</si>
  <si>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</si>
  <si>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</si>
  <si>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</si>
  <si>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</si>
  <si>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</si>
  <si>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</si>
  <si>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</si>
  <si>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</si>
  <si>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</si>
  <si>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</si>
  <si>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</si>
  <si>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</si>
  <si>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</si>
  <si>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</si>
  <si>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</si>
  <si>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</si>
  <si>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</si>
  <si>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</si>
  <si>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</si>
  <si>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</si>
  <si>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</si>
  <si>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</si>
  <si>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</si>
  <si>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</si>
  <si>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</si>
  <si>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</si>
  <si>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</si>
  <si>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</si>
  <si>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</si>
  <si>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</si>
  <si>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</si>
  <si>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</si>
  <si>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</si>
  <si>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</si>
  <si>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</si>
  <si>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</si>
  <si>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</si>
  <si>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</si>
  <si>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</si>
  <si>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</si>
  <si>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</si>
  <si>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</si>
  <si>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</si>
  <si>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</si>
  <si>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</si>
  <si>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</si>
  <si>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</si>
  <si>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</si>
  <si>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</si>
  <si>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</si>
  <si>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</si>
  <si>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</si>
  <si>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</si>
  <si>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</si>
  <si>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</si>
  <si>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</si>
  <si>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</si>
  <si>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</si>
  <si>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</si>
  <si>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</si>
  <si>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</si>
  <si>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</si>
  <si>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</si>
  <si>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</si>
  <si>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</si>
  <si>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</si>
  <si>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</si>
  <si>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</si>
  <si>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</si>
  <si>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</si>
  <si>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</si>
  <si>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</si>
  <si>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</si>
  <si>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</si>
  <si>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</si>
  <si>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</si>
  <si>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</si>
  <si>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</si>
  <si>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</si>
  <si>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</si>
  <si>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</si>
  <si>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</si>
  <si>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</si>
  <si>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</si>
  <si>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</si>
  <si>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</si>
  <si>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</si>
  <si>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</si>
  <si>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</si>
  <si>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</si>
  <si>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</si>
  <si>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</si>
  <si>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</si>
  <si>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</si>
  <si>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</si>
  <si>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</si>
  <si>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</si>
  <si>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</si>
  <si>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</si>
  <si>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</si>
  <si>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</si>
  <si>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</si>
  <si>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</si>
  <si>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</si>
  <si>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</si>
  <si>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</si>
  <si>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</si>
  <si>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</si>
  <si>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</si>
  <si>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</si>
  <si>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</si>
  <si>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</si>
  <si>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</si>
  <si>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</si>
  <si>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</si>
  <si>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</si>
  <si>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</si>
  <si>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</si>
  <si>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</si>
  <si>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</si>
  <si>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</si>
  <si>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</si>
  <si>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</si>
  <si>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</si>
  <si>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</si>
  <si>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</si>
  <si>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</si>
  <si>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</si>
  <si>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</si>
  <si>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</si>
  <si>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</si>
  <si>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</si>
  <si>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</si>
  <si>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</si>
  <si>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</si>
  <si>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</si>
  <si>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</si>
  <si>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</si>
  <si>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</si>
  <si>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</si>
  <si>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</si>
  <si>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</si>
  <si>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</si>
  <si>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</si>
  <si>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</si>
  <si>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</si>
  <si>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</si>
  <si>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</si>
  <si>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</si>
  <si>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</si>
  <si>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</si>
  <si>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</si>
  <si>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</si>
  <si>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</si>
  <si>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</si>
  <si>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</si>
  <si>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</si>
  <si>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</si>
  <si>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</si>
  <si>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</si>
  <si>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</si>
  <si>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</si>
  <si>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</si>
  <si>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</si>
  <si>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</si>
  <si>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</si>
  <si>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</si>
  <si>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</si>
  <si>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</si>
  <si>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</si>
  <si>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</si>
  <si>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</si>
  <si>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</si>
  <si>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</si>
  <si>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</si>
  <si>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</si>
  <si>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</si>
  <si>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</si>
  <si>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</si>
  <si>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</si>
  <si>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</si>
  <si>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</si>
  <si>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</si>
  <si>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</si>
  <si>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</si>
  <si>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</si>
  <si>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</si>
  <si>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</si>
  <si>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</si>
  <si>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</si>
  <si>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</si>
  <si>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</si>
  <si>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</si>
  <si>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</si>
  <si>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</si>
  <si>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</si>
  <si>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</si>
  <si>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</si>
  <si>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</si>
  <si>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</si>
  <si>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</si>
  <si>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</si>
  <si>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</si>
  <si>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</si>
  <si>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</si>
  <si>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</si>
  <si>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</si>
  <si>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</si>
  <si>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</si>
  <si>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</si>
  <si>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</si>
  <si>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</si>
  <si>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</si>
  <si>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</si>
  <si>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</si>
  <si>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</si>
  <si>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</si>
  <si>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</si>
  <si>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</si>
  <si>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</si>
  <si>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</si>
  <si>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</si>
  <si>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</si>
  <si>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</si>
  <si>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</si>
  <si>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</si>
  <si>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</si>
  <si>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</si>
  <si>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</si>
  <si>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</si>
  <si>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</si>
  <si>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</si>
  <si>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</si>
  <si>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</si>
  <si>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</si>
  <si>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</si>
  <si>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</si>
  <si>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</si>
  <si>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</si>
  <si>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</si>
  <si>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</si>
  <si>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</si>
  <si>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</si>
  <si>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</si>
  <si>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</si>
  <si>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</si>
  <si>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</si>
  <si>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</si>
  <si>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</si>
  <si>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</si>
  <si>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</si>
  <si>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</si>
  <si>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</si>
  <si>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</si>
  <si>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</si>
  <si>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</si>
  <si>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</si>
  <si>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</si>
  <si>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</si>
  <si>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</si>
  <si>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</si>
  <si>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</si>
  <si>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</si>
  <si>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</si>
  <si>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</si>
  <si>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</si>
  <si>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</si>
  <si>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</si>
  <si>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</si>
  <si>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</si>
  <si>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</si>
  <si>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</si>
  <si>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</si>
  <si>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</si>
  <si>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</si>
  <si>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</si>
  <si>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</si>
  <si>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</si>
  <si>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</si>
  <si>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</si>
  <si>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</si>
  <si>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</si>
  <si>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</si>
  <si>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</si>
  <si>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</si>
  <si>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</si>
  <si>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</si>
  <si>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</si>
  <si>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</si>
  <si>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</si>
  <si>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</si>
  <si>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</si>
  <si>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</si>
  <si>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</si>
  <si>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</si>
  <si>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</si>
  <si>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</si>
  <si>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</si>
  <si>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</si>
  <si>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</si>
  <si>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</si>
  <si>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</si>
  <si>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</si>
  <si>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</si>
  <si>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</si>
  <si>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</si>
  <si>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</si>
  <si>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</si>
  <si>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</si>
  <si>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</si>
  <si>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</si>
  <si>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</si>
  <si>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</si>
  <si>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</si>
  <si>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</si>
  <si>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</si>
  <si>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</si>
  <si>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</si>
  <si>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</si>
  <si>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</si>
  <si>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</si>
  <si>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</si>
  <si>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</si>
  <si>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</si>
  <si>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</si>
  <si>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</si>
  <si>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</si>
  <si>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</si>
  <si>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</si>
  <si>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</si>
  <si>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</si>
  <si>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</si>
  <si>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</si>
  <si>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</si>
  <si>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</si>
  <si>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</si>
  <si>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</si>
  <si>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</si>
  <si>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</si>
  <si>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</si>
  <si>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</si>
  <si>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</si>
  <si>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</si>
  <si>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</si>
  <si>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</si>
  <si>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</si>
  <si>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</si>
  <si>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</si>
  <si>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</si>
  <si>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</si>
  <si>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</si>
  <si>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</si>
  <si>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</si>
  <si>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</si>
  <si>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</si>
  <si>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</si>
  <si>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</si>
  <si>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</si>
  <si>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</si>
  <si>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</si>
  <si>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</si>
  <si>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</si>
  <si>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</si>
  <si>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</si>
  <si>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</si>
  <si>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</si>
  <si>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</si>
  <si>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</si>
  <si>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</si>
  <si>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</si>
  <si>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</si>
  <si>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</si>
  <si>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</si>
  <si>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</si>
  <si>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</si>
  <si>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</si>
  <si>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</si>
  <si>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</si>
  <si>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</si>
  <si>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</si>
  <si>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</si>
  <si>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</si>
  <si>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</si>
  <si>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</si>
  <si>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</si>
  <si>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</si>
  <si>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</si>
  <si>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</si>
  <si>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</si>
  <si>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</si>
  <si>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</si>
  <si>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</si>
  <si>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</si>
  <si>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</si>
  <si>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</si>
  <si>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</si>
  <si>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</si>
  <si>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</si>
  <si>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</si>
  <si>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</si>
  <si>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</si>
  <si>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</si>
  <si>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</si>
  <si>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</si>
  <si>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</si>
  <si>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</si>
  <si>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</si>
  <si>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</si>
  <si>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</si>
  <si>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</si>
  <si>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</si>
  <si>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</si>
  <si>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</si>
  <si>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</si>
  <si>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</si>
  <si>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</si>
  <si>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</si>
  <si>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</si>
  <si>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</si>
  <si>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</si>
  <si>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</si>
  <si>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</si>
  <si>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</si>
  <si>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</si>
  <si>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</si>
  <si>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</si>
  <si>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</si>
  <si>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</si>
  <si>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</si>
  <si>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</si>
  <si>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</si>
  <si>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</si>
  <si>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</si>
  <si>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</si>
  <si>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</si>
  <si>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</si>
  <si>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</si>
  <si>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</si>
  <si>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</si>
  <si>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</si>
  <si>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</si>
  <si>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</si>
  <si>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</si>
  <si>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</si>
  <si>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</si>
  <si>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</si>
  <si>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</si>
  <si>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</si>
  <si>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</si>
  <si>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</si>
  <si>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</si>
  <si>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</si>
  <si>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</si>
  <si>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</si>
  <si>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</si>
  <si>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</si>
  <si>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</si>
  <si>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</si>
  <si>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</si>
  <si>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</si>
  <si>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</si>
  <si>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</si>
  <si>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</si>
  <si>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</si>
  <si>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</si>
  <si>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</si>
  <si>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</si>
  <si>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</si>
  <si>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</si>
  <si>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</si>
  <si>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</si>
  <si>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</si>
  <si>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</si>
  <si>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</si>
  <si>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</si>
  <si>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</si>
  <si>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</si>
  <si>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</si>
  <si>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</si>
  <si>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</si>
  <si>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</si>
  <si>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</si>
  <si>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</si>
  <si>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</si>
  <si>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</si>
  <si>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</si>
  <si>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</si>
  <si>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</si>
  <si>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</si>
  <si>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</si>
  <si>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</si>
  <si>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</si>
  <si>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</si>
  <si>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</si>
  <si>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</si>
  <si>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</si>
  <si>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</si>
  <si>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</si>
  <si>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</si>
  <si>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</si>
  <si>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</si>
  <si>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</si>
  <si>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</si>
  <si>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</si>
  <si>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</si>
  <si>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</si>
  <si>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</si>
  <si>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</si>
  <si>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</si>
  <si>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</si>
  <si>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</si>
  <si>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</si>
  <si>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</si>
  <si>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</si>
  <si>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</si>
  <si>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</si>
  <si>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</si>
  <si>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</si>
  <si>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</si>
  <si>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</si>
  <si>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</si>
  <si>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</si>
  <si>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</si>
  <si>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</si>
  <si>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</si>
  <si>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</si>
  <si>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</si>
  <si>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</si>
  <si>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</si>
  <si>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</si>
  <si>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</si>
  <si>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</si>
  <si>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</si>
  <si>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</si>
  <si>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</si>
  <si>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</si>
  <si>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</si>
  <si>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</si>
  <si>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</si>
  <si>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</si>
  <si>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</si>
  <si>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</si>
  <si>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</si>
  <si>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</si>
  <si>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</si>
  <si>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</si>
  <si>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</si>
  <si>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</si>
  <si>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</si>
  <si>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</si>
  <si>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</si>
  <si>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</si>
  <si>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</si>
  <si>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</si>
  <si>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</si>
  <si>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</si>
  <si>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</si>
  <si>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</si>
  <si>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</si>
  <si>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</si>
  <si>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</si>
  <si>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</si>
  <si>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</si>
  <si>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</si>
  <si>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</si>
  <si>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</si>
  <si>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</si>
  <si>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</si>
  <si>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</si>
  <si>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</si>
  <si>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</si>
  <si>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</si>
  <si>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</si>
  <si>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</si>
  <si>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</si>
  <si>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</si>
  <si>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</si>
  <si>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</si>
  <si>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</si>
  <si>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</si>
  <si>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</si>
  <si>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</si>
  <si>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</si>
  <si>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</si>
  <si>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</si>
  <si>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</si>
  <si>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</si>
  <si>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</si>
  <si>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</si>
  <si>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</si>
  <si>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</si>
  <si>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</si>
  <si>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</si>
  <si>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</si>
  <si>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</si>
  <si>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</si>
  <si>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</si>
  <si>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</si>
  <si>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</si>
  <si>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</si>
  <si>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</si>
  <si>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</si>
  <si>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</si>
  <si>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</si>
  <si>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</si>
  <si>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</si>
  <si>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</si>
  <si>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</si>
  <si>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</si>
  <si>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</si>
  <si>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</si>
  <si>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</si>
  <si>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</si>
  <si>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</si>
  <si>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</si>
  <si>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</si>
  <si>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</si>
  <si>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</si>
  <si>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</si>
  <si>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</si>
  <si>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</si>
  <si>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</si>
  <si>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</si>
  <si>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</si>
  <si>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</si>
  <si>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</si>
  <si>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</si>
  <si>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</si>
  <si>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</si>
  <si>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</si>
  <si>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</si>
  <si>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</si>
  <si>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</si>
  <si>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</si>
  <si>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</si>
  <si>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</si>
  <si>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</si>
  <si>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</si>
  <si>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</si>
  <si>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</si>
  <si>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</si>
  <si>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</si>
  <si>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</si>
  <si>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</si>
  <si>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</si>
  <si>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</si>
  <si>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</si>
  <si>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</si>
  <si>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</si>
  <si>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</si>
  <si>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</si>
  <si>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</si>
  <si>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</si>
  <si>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</si>
  <si>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</si>
  <si>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</si>
  <si>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</si>
  <si>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</si>
  <si>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</si>
  <si>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</si>
  <si>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</si>
  <si>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</si>
  <si>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</si>
  <si>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</si>
  <si>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</si>
  <si>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</si>
  <si>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</si>
  <si>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</si>
  <si>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</si>
  <si>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</si>
  <si>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</si>
  <si>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</si>
  <si>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</si>
  <si>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</si>
  <si>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</si>
  <si>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</si>
  <si>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</si>
  <si>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</si>
  <si>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</si>
  <si>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</si>
  <si>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</si>
  <si>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</si>
  <si>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</si>
  <si>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</si>
  <si>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</si>
  <si>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</si>
  <si>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</si>
  <si>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</si>
  <si>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</si>
  <si>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</si>
  <si>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</si>
  <si>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</si>
  <si>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</si>
  <si>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</si>
  <si>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</si>
  <si>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</si>
  <si>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</si>
  <si>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</si>
  <si>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</si>
  <si>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</si>
  <si>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</si>
  <si>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</si>
  <si>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</si>
  <si>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</si>
  <si>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</si>
  <si>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</si>
  <si>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</si>
  <si>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</si>
  <si>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</si>
  <si>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</si>
  <si>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</si>
  <si>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</si>
  <si>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</si>
  <si>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</si>
  <si>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</si>
  <si>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</si>
  <si>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</si>
  <si>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</si>
  <si>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</si>
  <si>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</si>
  <si>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</si>
  <si>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</si>
  <si>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</si>
  <si>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</si>
  <si>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</si>
  <si>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</si>
  <si>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</si>
  <si>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</si>
  <si>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</si>
  <si>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</si>
  <si>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</si>
  <si>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</si>
  <si>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</si>
  <si>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</si>
  <si>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</si>
  <si>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</si>
  <si>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</si>
  <si>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</si>
  <si>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</si>
  <si>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</si>
  <si>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</si>
  <si>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</si>
  <si>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</si>
  <si>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</si>
  <si>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</si>
  <si>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</si>
  <si>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</si>
  <si>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</si>
  <si>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</si>
  <si>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</si>
  <si>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</si>
  <si>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</si>
  <si>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</si>
  <si>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</si>
  <si>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</si>
  <si>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</si>
  <si>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</si>
  <si>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</si>
  <si>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</si>
  <si>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</si>
  <si>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</si>
  <si>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</si>
  <si>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</si>
  <si>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</si>
  <si>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</si>
  <si>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</si>
  <si>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</si>
  <si>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</si>
  <si>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</si>
  <si>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</si>
  <si>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</si>
  <si>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</si>
  <si>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</si>
  <si>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</si>
  <si>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</si>
  <si>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</si>
  <si>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</si>
  <si>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</si>
  <si>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</si>
  <si>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</si>
  <si>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</si>
  <si>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</si>
  <si>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</si>
  <si>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</si>
  <si>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</si>
  <si>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</si>
  <si>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</si>
  <si>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</si>
  <si>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</si>
  <si>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</si>
  <si>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</si>
  <si>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</si>
  <si>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</si>
  <si>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</si>
  <si>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</si>
  <si>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</si>
  <si>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</si>
  <si>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</si>
  <si>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</si>
  <si>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</si>
  <si>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</si>
  <si>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</si>
  <si>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</si>
  <si>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</si>
  <si>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</si>
  <si>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</si>
  <si>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</si>
  <si>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</si>
  <si>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</si>
  <si>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</si>
  <si>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</si>
  <si>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</si>
  <si>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</si>
  <si>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</si>
  <si>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</si>
  <si>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</si>
  <si>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</si>
  <si>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</si>
  <si>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</si>
  <si>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</si>
  <si>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</si>
  <si>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</si>
  <si>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</si>
  <si>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</si>
  <si>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</si>
  <si>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</si>
  <si>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</si>
  <si>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</si>
  <si>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</si>
  <si>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</si>
  <si>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</si>
  <si>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</si>
  <si>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</si>
  <si>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</si>
  <si>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</si>
  <si>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</si>
  <si>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</si>
  <si>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</si>
  <si>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</si>
  <si>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</si>
  <si>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</si>
  <si>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</si>
  <si>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</si>
  <si>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</si>
  <si>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</si>
  <si>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</si>
  <si>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</si>
  <si>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</si>
  <si>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</si>
  <si>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</si>
  <si>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</si>
  <si>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</si>
  <si>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</si>
  <si>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</si>
  <si>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</si>
  <si>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</si>
  <si>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</si>
  <si>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</si>
  <si>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</si>
  <si>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</si>
  <si>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</si>
  <si>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</si>
  <si>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</si>
  <si>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</si>
  <si>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</si>
  <si>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</si>
  <si>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</si>
  <si>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</si>
  <si>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</si>
  <si>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</si>
  <si>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</si>
  <si>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</si>
  <si>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</si>
  <si>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</si>
  <si>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</si>
  <si>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</si>
  <si>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</si>
  <si>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</si>
  <si>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</si>
  <si>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</si>
  <si>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</si>
  <si>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</si>
  <si>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</si>
  <si>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</si>
  <si>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</si>
  <si>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</si>
  <si>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</si>
  <si>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</si>
  <si>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</si>
  <si>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</si>
  <si>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</si>
  <si>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</si>
  <si>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</si>
  <si>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</si>
  <si>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</si>
  <si>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</si>
  <si>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</si>
  <si>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</si>
  <si>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</si>
  <si>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</si>
  <si>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</si>
  <si>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</si>
  <si>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</si>
  <si>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</si>
  <si>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</si>
  <si>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</si>
  <si>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</si>
  <si>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</si>
  <si>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</si>
  <si>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</si>
  <si>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</si>
  <si>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</si>
  <si>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</si>
  <si>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</si>
  <si>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</si>
  <si>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</si>
  <si>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</si>
  <si>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</si>
  <si>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</si>
  <si>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</si>
  <si>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</si>
  <si>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</si>
  <si>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</si>
  <si>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</si>
  <si>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</si>
  <si>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</si>
  <si>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</si>
  <si>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</si>
  <si>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</si>
  <si>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</si>
  <si>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</si>
  <si>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</si>
  <si>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</si>
  <si>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</si>
  <si>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</si>
  <si>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</si>
  <si>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</si>
  <si>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</si>
  <si>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</si>
  <si>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</si>
  <si>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</si>
  <si>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</si>
  <si>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</si>
  <si>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</si>
  <si>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</si>
  <si>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</si>
  <si>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</si>
  <si>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</si>
  <si>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</si>
  <si>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</si>
  <si>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</si>
  <si>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</si>
  <si>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</si>
  <si>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</si>
  <si>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</si>
  <si>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</si>
  <si>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</si>
  <si>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</si>
  <si>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</si>
  <si>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</si>
  <si>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</si>
  <si>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</si>
  <si>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</si>
  <si>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</si>
  <si>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</si>
  <si>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</si>
  <si>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</si>
  <si>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</si>
  <si>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</si>
  <si>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</si>
  <si>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</si>
  <si>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</si>
  <si>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</si>
  <si>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</si>
  <si>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</si>
  <si>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</si>
  <si>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</si>
  <si>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</si>
  <si>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</si>
  <si>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</si>
  <si>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</si>
  <si>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</si>
  <si>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</si>
  <si>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</si>
  <si>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</si>
  <si>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</si>
  <si>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</si>
  <si>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</si>
  <si>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</si>
  <si>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</si>
  <si>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</si>
  <si>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</si>
  <si>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</si>
  <si>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</si>
  <si>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</si>
  <si>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</si>
  <si>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</si>
  <si>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</si>
  <si>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</si>
  <si>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</si>
  <si>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</si>
  <si>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</si>
  <si>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</si>
  <si>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</si>
  <si>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</si>
  <si>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</si>
  <si>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</si>
  <si>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</si>
  <si>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</si>
  <si>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</si>
  <si>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</si>
  <si>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</si>
  <si>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</si>
  <si>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</si>
  <si>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</si>
  <si>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</si>
  <si>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</si>
  <si>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</si>
  <si>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</si>
  <si>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</si>
  <si>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</si>
  <si>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</si>
  <si>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</si>
  <si>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</si>
  <si>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</si>
  <si>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</si>
  <si>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</si>
  <si>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</si>
  <si>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</si>
  <si>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</si>
  <si>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</si>
  <si>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</si>
  <si>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</si>
  <si>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</si>
  <si>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</si>
  <si>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</si>
  <si>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</si>
  <si>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</si>
  <si>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</si>
  <si>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</si>
  <si>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</si>
  <si>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</si>
  <si>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</si>
  <si>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</si>
  <si>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</si>
  <si>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</si>
  <si>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</si>
  <si>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</si>
  <si>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</si>
  <si>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</si>
  <si>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</si>
  <si>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</si>
  <si>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</si>
  <si>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</si>
  <si>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</si>
  <si>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</si>
  <si>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</si>
  <si>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</si>
  <si>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</si>
  <si>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</si>
  <si>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</si>
  <si>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</si>
  <si>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</si>
  <si>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</si>
  <si>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</si>
  <si>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</si>
  <si>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</si>
  <si>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</si>
  <si>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</si>
  <si>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</si>
  <si>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</si>
  <si>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</si>
  <si>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</si>
  <si>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</si>
  <si>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</si>
  <si>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</si>
  <si>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</si>
  <si>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</si>
  <si>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</si>
  <si>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</si>
  <si>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</si>
  <si>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</si>
  <si>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</si>
  <si>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</si>
  <si>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</si>
  <si>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</si>
  <si>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</si>
  <si>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</si>
  <si>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</si>
  <si>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</si>
  <si>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</si>
  <si>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</si>
  <si>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</si>
  <si>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</si>
  <si>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</si>
  <si>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</si>
  <si>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</si>
  <si>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</si>
  <si>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</si>
  <si>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</si>
  <si>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</si>
  <si>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</si>
  <si>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</si>
  <si>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</si>
  <si>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</si>
  <si>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</si>
  <si>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</si>
  <si>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</si>
  <si>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</si>
  <si>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</si>
  <si>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</si>
  <si>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</si>
  <si>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</si>
  <si>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</si>
  <si>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</si>
  <si>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</si>
  <si>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</si>
  <si>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</si>
  <si>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</si>
  <si>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</si>
  <si>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</si>
  <si>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</si>
  <si>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</si>
  <si>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</si>
  <si>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</si>
  <si>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</si>
  <si>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</si>
  <si>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</si>
  <si>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</si>
  <si>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</si>
  <si>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</si>
  <si>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</si>
  <si>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</si>
  <si>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</si>
  <si>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</si>
  <si>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</si>
  <si>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</si>
  <si>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</si>
  <si>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</si>
  <si>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</si>
  <si>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</si>
  <si>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</si>
  <si>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</si>
  <si>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</si>
  <si>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</si>
  <si>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</si>
  <si>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</si>
  <si>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</si>
  <si>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</si>
  <si>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</si>
  <si>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</si>
  <si>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</si>
  <si>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</si>
  <si>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</si>
  <si>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</si>
  <si>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</si>
  <si>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</si>
  <si>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</si>
  <si>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</si>
  <si>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</si>
  <si>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</si>
  <si>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</si>
  <si>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</si>
  <si>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</si>
  <si>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</si>
  <si>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</si>
  <si>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</si>
  <si>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</si>
  <si>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</si>
  <si>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</si>
  <si>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</si>
  <si>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</si>
  <si>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</si>
  <si>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</si>
  <si>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</si>
  <si>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</si>
  <si>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</si>
  <si>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</si>
  <si>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</si>
  <si>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</si>
  <si>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</si>
  <si>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</si>
  <si>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</si>
  <si>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</si>
  <si>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</si>
  <si>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</si>
  <si>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</si>
  <si>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</si>
  <si>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</si>
  <si>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</si>
  <si>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</si>
  <si>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</si>
  <si>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</si>
  <si>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</si>
  <si>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</si>
  <si>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</si>
  <si>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</si>
  <si>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</si>
  <si>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</si>
  <si>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</si>
  <si>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</si>
  <si>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</si>
  <si>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</si>
  <si>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</si>
  <si>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</si>
  <si>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</si>
  <si>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</si>
  <si>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</si>
  <si>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</si>
  <si>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</si>
  <si>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</si>
  <si>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</si>
  <si>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</si>
  <si>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</si>
  <si>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</si>
  <si>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</si>
  <si>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</si>
  <si>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</si>
  <si>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</si>
  <si>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</si>
  <si>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</si>
  <si>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</si>
  <si>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</si>
  <si>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</si>
  <si>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</si>
  <si>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</si>
  <si>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</si>
  <si>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</si>
  <si>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</si>
  <si>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</si>
  <si>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</si>
  <si>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</si>
  <si>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</si>
  <si>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</si>
  <si>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</si>
  <si>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</si>
  <si>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</si>
  <si>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</si>
  <si>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</si>
  <si>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</si>
  <si>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</si>
  <si>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</si>
  <si>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</si>
  <si>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</si>
  <si>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</si>
  <si>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</si>
  <si>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</si>
  <si>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</si>
  <si>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</si>
  <si>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</si>
  <si>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</si>
  <si>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</si>
  <si>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</si>
  <si>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</si>
  <si>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</si>
  <si>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</si>
  <si>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</si>
  <si>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</si>
  <si>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</si>
  <si>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</si>
  <si>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</si>
  <si>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</si>
  <si>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</si>
  <si>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</si>
  <si>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</si>
  <si>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</si>
  <si>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</si>
  <si>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</si>
  <si>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</si>
  <si>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</si>
  <si>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</si>
  <si>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</si>
  <si>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</si>
  <si>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</si>
  <si>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</si>
  <si>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</si>
  <si>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</si>
  <si>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</si>
  <si>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</si>
  <si>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</si>
  <si>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</si>
  <si>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</si>
  <si>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</si>
  <si>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</si>
  <si>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</si>
  <si>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</si>
  <si>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</si>
  <si>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</si>
  <si>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</si>
  <si>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</si>
  <si>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</si>
  <si>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</si>
  <si>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</si>
  <si>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</si>
  <si>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</si>
  <si>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</si>
  <si>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</si>
  <si>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</si>
  <si>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</si>
  <si>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</si>
  <si>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</si>
  <si>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</si>
  <si>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</si>
  <si>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</si>
  <si>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</si>
  <si>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</si>
  <si>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</si>
  <si>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</si>
  <si>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</si>
  <si>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</si>
  <si>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</si>
  <si>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</si>
  <si>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</si>
  <si>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</si>
  <si>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</si>
  <si>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</si>
  <si>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</si>
  <si>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</si>
  <si>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</si>
  <si>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</si>
  <si>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</si>
  <si>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</si>
  <si>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</si>
  <si>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</si>
  <si>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</si>
  <si>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</si>
  <si>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</si>
  <si>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</si>
  <si>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</si>
  <si>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</si>
  <si>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</si>
  <si>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</si>
  <si>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</si>
  <si>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</si>
  <si>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</si>
  <si>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</si>
  <si>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</si>
  <si>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</si>
  <si>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</si>
  <si>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</si>
  <si>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</si>
  <si>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</si>
  <si>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</si>
  <si>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</si>
  <si>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</si>
  <si>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</si>
  <si>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</si>
  <si>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</si>
  <si>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</si>
  <si>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</si>
  <si>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</si>
  <si>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</si>
  <si>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</si>
  <si>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</si>
  <si>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</si>
  <si>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</si>
  <si>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</si>
  <si>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</si>
  <si>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</si>
  <si>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</si>
  <si>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</si>
  <si>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</si>
  <si>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</si>
  <si>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</si>
  <si>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</si>
  <si>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</si>
  <si>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</si>
  <si>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</si>
  <si>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</si>
  <si>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</si>
  <si>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</si>
  <si>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</si>
  <si>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</si>
  <si>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</si>
  <si>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</si>
  <si>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</si>
  <si>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</si>
  <si>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</si>
  <si>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</si>
  <si>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</si>
  <si>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</si>
  <si>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</si>
  <si>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</si>
  <si>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</si>
  <si>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</si>
  <si>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</si>
  <si>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</si>
  <si>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</si>
  <si>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</si>
  <si>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</si>
  <si>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</si>
  <si>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</si>
  <si>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</si>
  <si>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</si>
  <si>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</si>
  <si>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</si>
  <si>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</si>
  <si>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</si>
  <si>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</si>
  <si>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</si>
  <si>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</si>
  <si>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</si>
  <si>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</si>
  <si>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</si>
  <si>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</si>
  <si>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</si>
  <si>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</si>
  <si>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</si>
  <si>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</si>
  <si>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</si>
  <si>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</si>
  <si>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</si>
  <si>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</si>
  <si>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</si>
  <si>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</si>
  <si>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</si>
  <si>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</si>
  <si>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</si>
  <si>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</si>
  <si>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</si>
  <si>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</si>
  <si>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</si>
  <si>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</si>
  <si>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</si>
  <si>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</si>
  <si>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</si>
  <si>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</si>
  <si>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</si>
  <si>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</si>
  <si>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</si>
  <si>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</si>
  <si>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</si>
  <si>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</si>
  <si>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</si>
  <si>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</si>
  <si>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</si>
  <si>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</si>
  <si>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</si>
  <si>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</si>
  <si>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</si>
  <si>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</si>
  <si>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</si>
  <si>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</si>
  <si>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</si>
  <si>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</si>
  <si>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</si>
  <si>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</si>
  <si>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</si>
  <si>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</si>
  <si>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</si>
  <si>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</si>
  <si>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</si>
  <si>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</si>
  <si>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</si>
  <si>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</si>
  <si>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</si>
  <si>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</si>
  <si>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</si>
  <si>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</si>
  <si>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</si>
  <si>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</si>
  <si>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</si>
  <si>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</si>
  <si>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</si>
  <si>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</si>
  <si>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</si>
  <si>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</si>
  <si>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</si>
  <si>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</si>
  <si>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</si>
  <si>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</si>
  <si>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</si>
  <si>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</si>
  <si>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</si>
  <si>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</si>
  <si>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</si>
  <si>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</si>
  <si>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</si>
  <si>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</si>
  <si>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</si>
  <si>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</si>
  <si>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</si>
  <si>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</si>
  <si>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</si>
  <si>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</si>
  <si>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</si>
  <si>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</si>
  <si>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</si>
  <si>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</si>
  <si>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</si>
  <si>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</si>
  <si>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</si>
  <si>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</si>
  <si>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</si>
  <si>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</si>
  <si>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</si>
  <si>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</si>
  <si>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</si>
  <si>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</si>
  <si>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</si>
  <si>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</si>
  <si>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</si>
  <si>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</si>
  <si>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</si>
  <si>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</si>
  <si>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</si>
  <si>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</si>
  <si>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</si>
  <si>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</si>
  <si>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</si>
  <si>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</si>
  <si>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</si>
  <si>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</si>
  <si>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</si>
  <si>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</si>
  <si>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</si>
  <si>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</si>
  <si>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</si>
  <si>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</si>
  <si>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</si>
  <si>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</si>
  <si>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</si>
  <si>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</si>
  <si>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</si>
  <si>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</si>
  <si>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</si>
  <si>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</si>
  <si>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</si>
  <si>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</si>
  <si>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</si>
  <si>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</si>
  <si>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</si>
  <si>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</si>
  <si>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</si>
  <si>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</si>
  <si>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</si>
  <si>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</si>
  <si>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</si>
  <si>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</si>
  <si>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</si>
  <si>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</si>
  <si>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</si>
  <si>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</si>
  <si>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</si>
  <si>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</si>
  <si>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</si>
  <si>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</si>
  <si>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</si>
  <si>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</si>
  <si>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</si>
  <si>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</si>
  <si>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</si>
  <si>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</si>
  <si>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</si>
  <si>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</si>
  <si>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</si>
  <si>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</si>
  <si>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</si>
  <si>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</si>
  <si>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</si>
  <si>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</si>
  <si>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</si>
  <si>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</si>
  <si>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</si>
  <si>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</si>
  <si>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</si>
  <si>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</si>
  <si>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</si>
  <si>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</si>
  <si>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</si>
  <si>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</si>
  <si>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</si>
  <si>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</si>
  <si>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</si>
  <si>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</si>
  <si>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</si>
  <si>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</si>
  <si>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</si>
  <si>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</si>
  <si>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</si>
  <si>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</si>
  <si>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</si>
  <si>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</si>
  <si>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</si>
  <si>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</si>
  <si>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</si>
  <si>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</si>
  <si>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</si>
  <si>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</si>
  <si>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</si>
  <si>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</si>
  <si>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</si>
  <si>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</si>
  <si>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</si>
  <si>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</si>
  <si>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</si>
  <si>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</si>
  <si>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</si>
  <si>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</si>
  <si>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</si>
  <si>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</si>
  <si>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</si>
  <si>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</si>
  <si>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</si>
  <si>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</si>
  <si>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</si>
  <si>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</si>
  <si>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</si>
  <si>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</si>
  <si>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</si>
  <si>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</si>
  <si>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</si>
  <si>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</si>
  <si>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</si>
  <si>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</si>
  <si>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</si>
  <si>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</si>
  <si>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</si>
  <si>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</si>
  <si>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</si>
  <si>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</si>
  <si>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</si>
  <si>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</si>
  <si>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</si>
  <si>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</si>
  <si>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</si>
  <si>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</si>
  <si>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</si>
  <si>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</si>
  <si>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</si>
  <si>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</si>
  <si>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</si>
  <si>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</si>
  <si>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</si>
  <si>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</si>
  <si>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</si>
  <si>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</si>
  <si>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</si>
  <si>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</si>
  <si>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</si>
  <si>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</si>
  <si>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</si>
  <si>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</si>
  <si>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</si>
  <si>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</si>
  <si>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</si>
  <si>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</si>
  <si>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</si>
  <si>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</si>
  <si>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</si>
  <si>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</si>
  <si>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</si>
  <si>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</si>
  <si>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</si>
  <si>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</si>
  <si>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</si>
  <si>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</si>
  <si>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</si>
  <si>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</si>
  <si>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</si>
  <si>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</si>
  <si>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</si>
  <si>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</si>
  <si>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</si>
  <si>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</si>
  <si>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</si>
  <si>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</si>
  <si>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</si>
  <si>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</si>
  <si>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</si>
  <si>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</si>
  <si>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</si>
  <si>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</si>
  <si>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</si>
  <si>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</si>
  <si>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</si>
  <si>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</si>
  <si>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</si>
  <si>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</si>
  <si>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</si>
  <si>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</si>
  <si>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</si>
  <si>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</si>
  <si>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</si>
  <si>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</si>
  <si>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</si>
  <si>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</si>
  <si>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</si>
  <si>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</si>
  <si>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</si>
  <si>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</si>
  <si>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</si>
  <si>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</si>
  <si>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</si>
  <si>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</si>
  <si>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</si>
  <si>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</si>
  <si>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</si>
  <si>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</si>
  <si>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</si>
  <si>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</si>
  <si>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</si>
  <si>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</si>
  <si>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</si>
  <si>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</si>
  <si>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</si>
  <si>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</si>
  <si>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</si>
  <si>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</si>
  <si>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</si>
  <si>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</si>
  <si>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</si>
  <si>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</si>
  <si>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</si>
  <si>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</si>
  <si>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</si>
  <si>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</si>
  <si>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</si>
  <si>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</si>
  <si>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</si>
  <si>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</si>
  <si>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</si>
  <si>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</si>
  <si>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</si>
  <si>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</si>
  <si>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</si>
  <si>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</si>
  <si>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</si>
  <si>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</si>
  <si>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</si>
  <si>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</si>
  <si>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</si>
  <si>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</si>
  <si>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</si>
  <si>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</si>
  <si>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</si>
  <si>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</si>
  <si>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</si>
  <si>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</si>
  <si>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</si>
  <si>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</si>
  <si>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</si>
  <si>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</si>
  <si>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</si>
  <si>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</si>
  <si>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</si>
  <si>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</si>
  <si>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</si>
  <si>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</si>
  <si>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</si>
  <si>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</si>
  <si>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</si>
  <si>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</si>
  <si>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</si>
  <si>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</si>
  <si>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</si>
  <si>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</si>
  <si>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</si>
  <si>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</si>
  <si>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</si>
  <si>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</si>
  <si>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</si>
  <si>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</si>
  <si>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</si>
  <si>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</si>
  <si>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</si>
  <si>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</si>
  <si>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</si>
  <si>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</si>
  <si>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</si>
  <si>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</si>
  <si>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</si>
  <si>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</si>
  <si>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</si>
  <si>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</si>
  <si>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</si>
  <si>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</si>
  <si>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</si>
  <si>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</si>
  <si>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</si>
  <si>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</si>
  <si>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</si>
  <si>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</si>
  <si>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</si>
  <si>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</si>
  <si>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</si>
  <si>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</si>
  <si>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</si>
  <si>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</si>
  <si>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</si>
  <si>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</si>
  <si>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</si>
  <si>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</si>
  <si>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</si>
  <si>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</si>
  <si>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</si>
  <si>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</si>
  <si>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</si>
  <si>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</si>
  <si>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</si>
  <si>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</si>
  <si>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</si>
  <si>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</si>
  <si>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</si>
  <si>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</si>
  <si>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</si>
  <si>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</si>
  <si>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</si>
  <si>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</si>
  <si>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</si>
  <si>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</si>
  <si>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</si>
  <si>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</si>
  <si>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</si>
  <si>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</si>
  <si>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</si>
  <si>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</si>
  <si>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</si>
  <si>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</si>
  <si>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</si>
  <si>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</si>
  <si>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</si>
  <si>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</si>
  <si>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</si>
  <si>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</si>
  <si>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</si>
  <si>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</si>
  <si>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</si>
  <si>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</si>
  <si>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</si>
  <si>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</si>
  <si>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</si>
  <si>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</si>
  <si>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</si>
  <si>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</si>
  <si>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</si>
  <si>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</si>
  <si>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</si>
  <si>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</si>
  <si>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</si>
  <si>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</si>
  <si>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</si>
  <si>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</si>
  <si>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</si>
  <si>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</si>
  <si>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</si>
  <si>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</si>
  <si>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</si>
  <si>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</si>
  <si>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</si>
  <si>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</si>
  <si>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</si>
  <si>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</si>
  <si>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</si>
  <si>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</si>
  <si>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</si>
  <si>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</si>
  <si>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</si>
  <si>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</si>
  <si>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</si>
  <si>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</si>
  <si>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</si>
  <si>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</si>
  <si>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</si>
  <si>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</si>
  <si>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</si>
  <si>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</si>
  <si>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</si>
  <si>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</si>
  <si>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</si>
  <si>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</si>
  <si>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</si>
  <si>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</si>
  <si>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</si>
  <si>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</si>
  <si>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</si>
  <si>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</si>
  <si>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</si>
  <si>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</si>
  <si>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</si>
  <si>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</si>
  <si>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</si>
  <si>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</si>
  <si>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</si>
  <si>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</si>
  <si>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</si>
  <si>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</si>
  <si>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</si>
  <si>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</si>
  <si>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</si>
  <si>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</si>
  <si>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</si>
  <si>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</si>
  <si>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</si>
  <si>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</si>
  <si>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</si>
  <si>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</si>
  <si>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</si>
  <si>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</si>
  <si>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</si>
  <si>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</si>
  <si>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</si>
  <si>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</si>
  <si>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</si>
  <si>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</si>
  <si>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</si>
  <si>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</si>
  <si>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</si>
  <si>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</si>
  <si>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</si>
  <si>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</si>
  <si>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</si>
  <si>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</si>
  <si>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</si>
  <si>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</si>
  <si>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</si>
  <si>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</si>
  <si>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</si>
  <si>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</si>
  <si>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</si>
  <si>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</si>
  <si>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</si>
  <si>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</si>
  <si>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</si>
  <si>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</si>
  <si>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</si>
  <si>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</si>
  <si>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</si>
  <si>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</si>
  <si>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</si>
  <si>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</si>
  <si>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</si>
  <si>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</si>
  <si>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</si>
  <si>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</si>
  <si>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</si>
  <si>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</si>
  <si>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</si>
  <si>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</si>
  <si>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</si>
  <si>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</si>
  <si>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</si>
  <si>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</si>
  <si>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</si>
  <si>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</si>
  <si>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</si>
  <si>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</si>
  <si>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</si>
  <si>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</si>
  <si>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</si>
  <si>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</si>
  <si>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</si>
  <si>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</si>
  <si>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</si>
  <si>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</si>
  <si>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</si>
  <si>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</si>
  <si>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</si>
  <si>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</si>
  <si>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</si>
  <si>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</si>
  <si>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</si>
  <si>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</si>
  <si>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</si>
  <si>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</si>
  <si>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</si>
  <si>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</si>
  <si>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</si>
  <si>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</si>
  <si>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</si>
  <si>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</si>
  <si>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</si>
  <si>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</si>
  <si>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</si>
  <si>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</si>
  <si>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</si>
  <si>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</si>
  <si>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</si>
  <si>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</si>
  <si>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</si>
  <si>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</si>
  <si>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</si>
  <si>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</si>
  <si>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</si>
  <si>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</si>
  <si>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</si>
  <si>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</si>
  <si>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</si>
  <si>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</si>
  <si>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</si>
  <si>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</si>
  <si>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</si>
  <si>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</si>
  <si>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</si>
  <si>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</si>
  <si>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</si>
  <si>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</si>
  <si>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</si>
  <si>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</si>
  <si>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</si>
  <si>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</si>
  <si>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</si>
  <si>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</si>
  <si>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</si>
  <si>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</si>
  <si>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</si>
  <si>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</si>
  <si>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</si>
  <si>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</si>
  <si>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</si>
  <si>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</si>
  <si>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</si>
  <si>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</si>
  <si>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</si>
  <si>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</si>
  <si>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</si>
  <si>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</si>
  <si>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</si>
  <si>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</si>
  <si>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</si>
  <si>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</si>
  <si>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</si>
  <si>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</si>
  <si>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</si>
  <si>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</si>
  <si>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</si>
  <si>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</si>
  <si>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</si>
  <si>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</si>
  <si>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</si>
  <si>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</si>
  <si>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</si>
  <si>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</si>
  <si>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</si>
  <si>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</si>
  <si>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</si>
  <si>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</si>
  <si>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</si>
  <si>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</si>
  <si>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</si>
  <si>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</si>
  <si>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</si>
  <si>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</si>
  <si>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</si>
  <si>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</si>
  <si>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</si>
  <si>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</si>
  <si>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</si>
  <si>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</si>
  <si>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</si>
  <si>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</si>
  <si>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</si>
  <si>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</si>
  <si>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</si>
  <si>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</si>
  <si>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</si>
  <si>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</si>
  <si>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</si>
  <si>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</si>
  <si>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</si>
  <si>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</si>
  <si>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</si>
  <si>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</si>
  <si>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</si>
  <si>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</si>
  <si>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</si>
  <si>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</si>
  <si>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</si>
  <si>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</si>
  <si>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</si>
  <si>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</si>
  <si>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</si>
  <si>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</si>
  <si>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</si>
  <si>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</si>
  <si>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</si>
  <si>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</si>
  <si>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</si>
  <si>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</si>
  <si>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</si>
  <si>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</si>
  <si>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</si>
  <si>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</si>
  <si>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</si>
  <si>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</si>
  <si>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</si>
  <si>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</si>
  <si>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</si>
  <si>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</si>
  <si>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</si>
  <si>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</si>
  <si>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</si>
  <si>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</si>
  <si>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</si>
  <si>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</si>
  <si>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</si>
  <si>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</si>
  <si>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</si>
  <si>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</si>
  <si>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</si>
  <si>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</si>
  <si>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</si>
  <si>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</si>
  <si>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</si>
  <si>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</si>
  <si>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</si>
  <si>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</si>
  <si>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</si>
  <si>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</si>
  <si>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</si>
  <si>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</si>
  <si>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</si>
  <si>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</si>
  <si>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</si>
  <si>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</si>
  <si>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</si>
  <si>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</si>
  <si>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</si>
  <si>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</si>
  <si>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</si>
  <si>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</si>
  <si>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</si>
  <si>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</si>
  <si>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</si>
  <si>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</si>
  <si>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</si>
  <si>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</si>
  <si>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</si>
  <si>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</si>
  <si>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</si>
  <si>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</si>
  <si>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</si>
  <si>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</si>
  <si>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</si>
  <si>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</si>
  <si>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</si>
  <si>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</si>
  <si>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</si>
  <si>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</si>
  <si>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</si>
  <si>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</si>
  <si>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</si>
  <si>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</si>
  <si>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</si>
  <si>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</si>
  <si>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</si>
  <si>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</si>
  <si>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</si>
  <si>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</si>
  <si>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</si>
  <si>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</si>
  <si>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</si>
  <si>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</si>
  <si>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</si>
  <si>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</si>
  <si>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</si>
  <si>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</si>
  <si>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</si>
  <si>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</si>
  <si>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</si>
  <si>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</si>
  <si>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</si>
  <si>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</si>
  <si>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</si>
  <si>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</si>
  <si>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</si>
  <si>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</si>
  <si>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</si>
  <si>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</si>
  <si>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</si>
  <si>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</si>
  <si>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</si>
  <si>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</si>
  <si>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</si>
  <si>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</si>
  <si>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</si>
  <si>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</si>
  <si>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</si>
  <si>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</si>
  <si>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</si>
  <si>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</si>
  <si>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</si>
  <si>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</si>
  <si>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</si>
  <si>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</si>
  <si>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</si>
  <si>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</si>
  <si>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</si>
  <si>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</si>
  <si>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</si>
  <si>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</si>
  <si>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</si>
  <si>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</si>
  <si>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</si>
  <si>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</si>
  <si>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</si>
  <si>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</si>
  <si>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</si>
  <si>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</si>
  <si>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</si>
  <si>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</si>
  <si>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</si>
  <si>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</si>
  <si>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</si>
  <si>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</si>
  <si>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</si>
  <si>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</si>
  <si>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</si>
  <si>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</si>
  <si>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</si>
  <si>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</si>
  <si>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</si>
  <si>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</si>
  <si>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</si>
  <si>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</si>
  <si>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</si>
  <si>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</si>
  <si>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</si>
  <si>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</si>
  <si>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</si>
  <si>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</si>
  <si>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</si>
  <si>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</si>
  <si>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</si>
  <si>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</si>
  <si>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</si>
  <si>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</si>
  <si>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</si>
  <si>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</si>
  <si>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</si>
  <si>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</si>
  <si>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</si>
  <si>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</si>
  <si>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</si>
  <si>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</si>
  <si>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</si>
  <si>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</si>
  <si>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</si>
  <si>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</si>
  <si>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</si>
  <si>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</si>
  <si>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</si>
  <si>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</si>
  <si>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</si>
  <si>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</si>
  <si>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</si>
  <si>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</si>
  <si>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</si>
  <si>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</si>
  <si>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</si>
  <si>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</si>
  <si>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</si>
  <si>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</si>
  <si>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</si>
  <si>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</si>
  <si>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</si>
  <si>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</si>
  <si>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</si>
  <si>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</si>
  <si>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</si>
  <si>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</si>
  <si>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</si>
  <si>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</si>
  <si>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</si>
  <si>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</si>
  <si>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</si>
  <si>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</si>
  <si>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</si>
  <si>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</si>
  <si>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</si>
  <si>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</si>
  <si>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</si>
  <si>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</si>
  <si>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</si>
  <si>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</si>
  <si>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</si>
  <si>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</si>
  <si>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</si>
  <si>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</si>
  <si>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</si>
  <si>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</si>
  <si>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</si>
  <si>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</si>
  <si>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</si>
  <si>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</si>
  <si>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</si>
  <si>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</si>
  <si>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</si>
  <si>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</si>
  <si>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</si>
  <si>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</si>
  <si>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</si>
  <si>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</si>
  <si>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</si>
  <si>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</si>
  <si>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</si>
  <si>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</si>
  <si>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</si>
  <si>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</si>
  <si>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</si>
  <si>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</si>
  <si>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</si>
  <si>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</si>
  <si>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</si>
  <si>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</si>
  <si>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</si>
  <si>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</si>
  <si>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</si>
  <si>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</si>
  <si>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</si>
  <si>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</si>
  <si>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</si>
  <si>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</si>
  <si>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</si>
  <si>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</si>
  <si>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</si>
  <si>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</si>
  <si>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</si>
  <si>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</si>
  <si>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</si>
  <si>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</si>
  <si>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</si>
  <si>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</si>
  <si>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</si>
  <si>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</si>
  <si>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</si>
  <si>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</si>
  <si>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</si>
  <si>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</si>
  <si>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</si>
  <si>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</si>
  <si>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</si>
  <si>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</si>
  <si>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</si>
  <si>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</si>
  <si>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</si>
  <si>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</si>
  <si>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</si>
  <si>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</si>
  <si>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</si>
  <si>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</si>
  <si>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</si>
  <si>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</si>
  <si>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</si>
  <si>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</si>
  <si>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</si>
  <si>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</si>
  <si>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</si>
  <si>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</si>
  <si>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</si>
  <si>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</si>
  <si>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</si>
  <si>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</si>
  <si>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</si>
  <si>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</si>
  <si>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</si>
  <si>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</si>
  <si>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</si>
  <si>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</si>
  <si>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</si>
  <si>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</si>
  <si>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</si>
  <si>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</si>
  <si>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</si>
  <si>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</si>
  <si>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</si>
  <si>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</si>
  <si>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</si>
  <si>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</si>
  <si>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</si>
  <si>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</si>
  <si>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</si>
  <si>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</si>
  <si>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</si>
  <si>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</si>
  <si>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</si>
  <si>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</si>
  <si>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</si>
  <si>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</si>
  <si>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</si>
  <si>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</si>
  <si>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</si>
  <si>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</si>
  <si>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</si>
  <si>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</si>
  <si>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</si>
  <si>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</si>
  <si>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</si>
  <si>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</si>
  <si>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</si>
  <si>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</si>
  <si>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</si>
  <si>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</si>
  <si>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</si>
  <si>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</si>
  <si>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</si>
  <si>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</si>
  <si>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</si>
  <si>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</si>
  <si>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</si>
  <si>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</si>
  <si>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</si>
  <si>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</si>
  <si>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</si>
  <si>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</si>
  <si>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</si>
  <si>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</si>
  <si>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</si>
  <si>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</si>
  <si>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</si>
  <si>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</si>
  <si>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</si>
  <si>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</si>
  <si>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</si>
  <si>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</si>
  <si>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</si>
  <si>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</si>
  <si>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</si>
  <si>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</si>
  <si>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</si>
  <si>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</si>
  <si>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</si>
  <si>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</si>
  <si>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</si>
  <si>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</si>
  <si>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</si>
  <si>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</si>
  <si>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</si>
  <si>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</si>
  <si>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</si>
  <si>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</si>
  <si>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</si>
  <si>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</si>
  <si>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</si>
  <si>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</si>
  <si>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</si>
  <si>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</si>
  <si>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</si>
  <si>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</si>
  <si>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</si>
  <si>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</si>
  <si>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</si>
  <si>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</si>
  <si>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</si>
  <si>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</si>
  <si>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</si>
  <si>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</si>
  <si>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</si>
  <si>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</si>
  <si>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</si>
  <si>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</si>
  <si>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</si>
  <si>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</si>
  <si>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</si>
  <si>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</si>
  <si>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</si>
  <si>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</si>
  <si>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</si>
  <si>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</si>
  <si>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</si>
  <si>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</si>
  <si>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</si>
  <si>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</si>
  <si>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</si>
  <si>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</si>
  <si>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</si>
  <si>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</si>
  <si>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</si>
  <si>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</si>
  <si>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</si>
  <si>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</si>
  <si>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</si>
  <si>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</si>
  <si>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</si>
  <si>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</si>
  <si>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</si>
  <si>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</si>
  <si>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</si>
  <si>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</si>
  <si>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</si>
  <si>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</si>
  <si>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</si>
  <si>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</si>
  <si>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</si>
  <si>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</si>
  <si>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</si>
  <si>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</si>
  <si>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</si>
  <si>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</si>
  <si>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</si>
  <si>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</si>
  <si>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</si>
  <si>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</si>
  <si>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</si>
  <si>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</si>
  <si>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</si>
  <si>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</si>
  <si>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</si>
  <si>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</si>
  <si>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</si>
  <si>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</si>
  <si>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</si>
  <si>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</si>
  <si>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</si>
  <si>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</si>
  <si>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</si>
  <si>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</si>
  <si>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</si>
  <si>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</si>
  <si>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</si>
  <si>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</si>
  <si>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</si>
  <si>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</si>
  <si>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</si>
  <si>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</si>
  <si>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</si>
  <si>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</si>
  <si>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</si>
  <si>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</si>
  <si>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</si>
  <si>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</si>
  <si>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</si>
  <si>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</si>
  <si>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</si>
  <si>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</si>
  <si>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</si>
  <si>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</si>
  <si>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</si>
  <si>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</si>
  <si>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</si>
  <si>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</si>
  <si>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</si>
  <si>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</si>
  <si>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</si>
  <si>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</si>
  <si>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</si>
  <si>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</si>
  <si>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</si>
  <si>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</si>
  <si>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</si>
  <si>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</si>
  <si>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</si>
  <si>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</si>
  <si>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</si>
  <si>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</si>
  <si>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</si>
  <si>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</si>
  <si>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</si>
  <si>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</si>
  <si>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</si>
  <si>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</si>
  <si>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</si>
  <si>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</si>
  <si>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</si>
  <si>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</si>
  <si>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</si>
  <si>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</si>
  <si>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</si>
  <si>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</si>
  <si>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</si>
  <si>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</si>
  <si>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</si>
  <si>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</si>
  <si>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</si>
  <si>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</si>
  <si>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</si>
  <si>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</si>
  <si>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</si>
  <si>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</si>
  <si>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</si>
  <si>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</si>
  <si>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</si>
  <si>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</si>
  <si>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</si>
  <si>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</si>
  <si>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</si>
  <si>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</si>
  <si>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</si>
  <si>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</si>
  <si>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</si>
  <si>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</si>
  <si>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</si>
  <si>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</si>
  <si>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</si>
  <si>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</si>
  <si>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</si>
  <si>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</si>
  <si>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</si>
  <si>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</si>
  <si>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</si>
  <si>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</si>
  <si>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</si>
  <si>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</si>
  <si>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</si>
  <si>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</si>
  <si>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</si>
  <si>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</si>
  <si>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</si>
  <si>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</si>
  <si>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</si>
  <si>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</si>
  <si>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</si>
  <si>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</si>
  <si>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</si>
  <si>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</si>
  <si>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</si>
  <si>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</si>
  <si>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</si>
  <si>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</si>
  <si>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</si>
  <si>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</si>
  <si>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</si>
  <si>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</si>
  <si>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</si>
  <si>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</si>
  <si>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</si>
  <si>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</si>
  <si>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</si>
  <si>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</si>
  <si>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</si>
  <si>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</si>
  <si>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</si>
  <si>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</si>
  <si>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</si>
  <si>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</si>
  <si>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</si>
  <si>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</si>
  <si>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</si>
  <si>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</si>
  <si>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</si>
  <si>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</si>
  <si>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</si>
  <si>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</si>
  <si>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</si>
  <si>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</si>
  <si>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</si>
  <si>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</si>
  <si>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</si>
  <si>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</si>
  <si>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</si>
  <si>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</si>
  <si>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</si>
  <si>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</si>
  <si>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</si>
  <si>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</si>
  <si>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</si>
  <si>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</si>
  <si>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</si>
  <si>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</si>
  <si>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</si>
  <si>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</si>
  <si>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</si>
  <si>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</si>
  <si>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</si>
  <si>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</si>
  <si>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</si>
  <si>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</si>
  <si>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</si>
  <si>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</si>
  <si>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</si>
  <si>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</si>
  <si>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</si>
  <si>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</si>
  <si>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</si>
  <si>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</si>
  <si>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</si>
  <si>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</si>
  <si>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</si>
  <si>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</si>
  <si>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</si>
  <si>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</si>
  <si>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</si>
  <si>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</si>
  <si>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</si>
  <si>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</si>
  <si>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</si>
  <si>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</si>
  <si>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</si>
  <si>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</si>
  <si>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</si>
  <si>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</si>
  <si>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</si>
  <si>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</si>
  <si>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</si>
  <si>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</si>
  <si>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</si>
  <si>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</si>
  <si>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</si>
  <si>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</si>
  <si>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</si>
  <si>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</si>
  <si>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</si>
  <si>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</si>
  <si>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</si>
  <si>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</si>
  <si>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</si>
  <si>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</si>
  <si>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</si>
  <si>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</si>
  <si>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</si>
  <si>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</si>
  <si>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</si>
  <si>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</si>
  <si>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</si>
  <si>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</si>
  <si>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</si>
  <si>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</si>
  <si>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</si>
  <si>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</si>
  <si>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</si>
  <si>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</si>
  <si>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</si>
  <si>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</si>
  <si>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</si>
  <si>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</si>
  <si>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</si>
  <si>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</si>
  <si>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</si>
  <si>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</si>
  <si>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</si>
  <si>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</si>
  <si>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</si>
  <si>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</si>
  <si>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</si>
  <si>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</si>
  <si>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</si>
  <si>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</si>
  <si>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</si>
  <si>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</si>
  <si>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</si>
  <si>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</si>
  <si>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</si>
  <si>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</si>
  <si>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</si>
  <si>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</si>
  <si>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</si>
  <si>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</si>
  <si>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</si>
  <si>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</si>
  <si>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</si>
  <si>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</si>
  <si>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</si>
  <si>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</si>
  <si>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</si>
  <si>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</si>
  <si>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</si>
  <si>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</si>
  <si>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</si>
  <si>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</si>
  <si>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</si>
  <si>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</si>
  <si>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</si>
  <si>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</si>
  <si>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</si>
  <si>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</si>
  <si>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</si>
  <si>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</si>
  <si>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</si>
  <si>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</si>
  <si>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</si>
  <si>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</si>
  <si>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</si>
  <si>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</si>
  <si>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</si>
  <si>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</si>
  <si>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</si>
  <si>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</si>
  <si>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</si>
  <si>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</si>
  <si>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</si>
  <si>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</si>
  <si>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</si>
  <si>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</si>
  <si>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</si>
  <si>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</si>
  <si>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</si>
  <si>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</si>
  <si>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</si>
  <si>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</si>
  <si>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</si>
  <si>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</si>
  <si>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</si>
  <si>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</si>
  <si>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</si>
  <si>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</si>
  <si>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</si>
  <si>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</si>
  <si>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</si>
  <si>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</si>
  <si>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</si>
  <si>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</si>
  <si>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</si>
  <si>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</si>
  <si>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</si>
  <si>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</si>
  <si>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</si>
  <si>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</si>
  <si>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</si>
  <si>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</si>
  <si>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</si>
  <si>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</si>
  <si>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</si>
  <si>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</si>
  <si>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</si>
  <si>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</si>
  <si>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</si>
  <si>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</si>
  <si>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</si>
  <si>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</si>
  <si>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</si>
  <si>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</si>
  <si>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</si>
  <si>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</si>
  <si>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</si>
  <si>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</si>
  <si>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</si>
  <si>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</si>
  <si>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</si>
  <si>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</si>
  <si>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</si>
  <si>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</si>
  <si>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</si>
  <si>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</si>
  <si>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</si>
  <si>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</si>
  <si>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</si>
  <si>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</si>
  <si>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</si>
  <si>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</si>
  <si>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</si>
  <si>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</si>
  <si>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</si>
  <si>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</si>
  <si>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</si>
  <si>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</si>
  <si>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</si>
  <si>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</si>
  <si>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</si>
  <si>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</si>
  <si>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</si>
  <si>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</si>
  <si>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</si>
  <si>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</si>
  <si>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</si>
  <si>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</si>
  <si>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</si>
  <si>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</si>
  <si>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</si>
  <si>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</si>
  <si>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</si>
  <si>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</si>
  <si>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</si>
  <si>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</si>
  <si>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</si>
  <si>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</si>
  <si>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</si>
  <si>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</si>
  <si>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</si>
  <si>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</si>
  <si>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</si>
  <si>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</si>
  <si>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</si>
  <si>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</si>
  <si>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</si>
  <si>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</si>
  <si>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</si>
  <si>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</si>
  <si>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</si>
  <si>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</si>
  <si>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</si>
  <si>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</si>
  <si>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</si>
  <si>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</si>
  <si>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</si>
  <si>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</si>
  <si>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</si>
  <si>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</si>
  <si>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</si>
  <si>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</si>
  <si>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</si>
  <si>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</si>
  <si>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</si>
  <si>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</si>
  <si>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</si>
  <si>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</si>
  <si>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</si>
  <si>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</si>
  <si>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</si>
  <si>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</si>
  <si>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</si>
  <si>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</si>
  <si>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</si>
  <si>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</si>
  <si>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</si>
  <si>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</si>
  <si>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</si>
  <si>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</si>
  <si>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</si>
  <si>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</si>
  <si>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</si>
  <si>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</si>
  <si>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</si>
  <si>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</si>
  <si>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</si>
  <si>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</si>
  <si>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</si>
  <si>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</si>
  <si>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</si>
  <si>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</si>
  <si>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</si>
  <si>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</si>
  <si>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</si>
  <si>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</si>
  <si>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</si>
  <si>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</si>
  <si>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</si>
  <si>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</si>
  <si>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</si>
  <si>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</si>
  <si>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</si>
  <si>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</si>
  <si>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</si>
  <si>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</si>
  <si>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</si>
  <si>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</si>
  <si>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</si>
  <si>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</si>
  <si>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</si>
  <si>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</si>
  <si>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</si>
  <si>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</si>
  <si>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</si>
  <si>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</si>
  <si>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</si>
  <si>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</si>
  <si>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</si>
  <si>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</si>
  <si>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</si>
  <si>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</si>
  <si>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</si>
  <si>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</si>
  <si>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</si>
  <si>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</si>
  <si>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</si>
  <si>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</si>
  <si>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</si>
  <si>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</si>
  <si>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</si>
  <si>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</si>
  <si>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</si>
  <si>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</si>
  <si>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</si>
  <si>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</si>
  <si>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</si>
  <si>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</si>
  <si>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</si>
  <si>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</si>
  <si>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</si>
  <si>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</si>
  <si>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</si>
  <si>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</si>
  <si>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</si>
  <si>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</si>
  <si>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</si>
  <si>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</si>
  <si>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</si>
  <si>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</si>
  <si>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</si>
  <si>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</si>
  <si>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</si>
  <si>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</si>
  <si>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</si>
  <si>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</si>
  <si>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</si>
  <si>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</si>
  <si>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</si>
  <si>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</si>
  <si>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</si>
  <si>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</si>
  <si>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</si>
  <si>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</si>
  <si>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</si>
  <si>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</si>
  <si>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</si>
  <si>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</si>
  <si>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</si>
  <si>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</si>
  <si>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</si>
  <si>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</si>
  <si>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</si>
  <si>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</si>
  <si>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</si>
  <si>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</si>
  <si>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</si>
  <si>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</si>
  <si>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</si>
  <si>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</si>
  <si>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</si>
  <si>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</si>
  <si>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</si>
  <si>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</si>
  <si>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</si>
  <si>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</si>
  <si>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</si>
  <si>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</si>
  <si>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</si>
  <si>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</si>
  <si>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</si>
  <si>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</si>
  <si>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</si>
  <si>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</si>
  <si>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</si>
  <si>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</si>
  <si>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</si>
  <si>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</si>
  <si>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</si>
  <si>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</si>
  <si>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</si>
  <si>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</si>
  <si>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</si>
  <si>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</si>
  <si>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</si>
  <si>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</si>
  <si>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</si>
  <si>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</si>
  <si>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</si>
  <si>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</si>
  <si>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</si>
  <si>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</si>
  <si>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</si>
  <si>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</si>
  <si>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</si>
  <si>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</si>
  <si>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</si>
  <si>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</si>
  <si>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</si>
  <si>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</si>
  <si>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</si>
  <si>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</si>
  <si>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</si>
  <si>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</si>
  <si>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</si>
  <si>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</si>
  <si>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</si>
  <si>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</si>
  <si>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</si>
  <si>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</si>
  <si>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</si>
  <si>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</si>
  <si>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</si>
  <si>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</si>
  <si>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</si>
  <si>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</si>
  <si>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</si>
  <si>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</si>
  <si>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</si>
  <si>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</si>
  <si>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</si>
  <si>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</si>
  <si>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</si>
  <si>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</si>
  <si>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</si>
  <si>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</si>
  <si>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</si>
  <si>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</si>
  <si>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</si>
  <si>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</si>
  <si>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</si>
  <si>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</si>
  <si>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</si>
  <si>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</si>
  <si>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</si>
  <si>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</si>
  <si>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</si>
  <si>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</si>
  <si>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</si>
  <si>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</si>
  <si>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</si>
  <si>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</si>
  <si>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</si>
  <si>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</si>
  <si>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</si>
  <si>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</si>
  <si>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</si>
  <si>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</si>
  <si>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</si>
  <si>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</si>
  <si>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</si>
  <si>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</si>
  <si>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</si>
  <si>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</si>
  <si>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</si>
  <si>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</si>
  <si>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</si>
  <si>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</si>
  <si>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</si>
  <si>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</si>
  <si>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</si>
  <si>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</si>
  <si>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</si>
  <si>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</si>
  <si>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</si>
  <si>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</si>
  <si>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</si>
  <si>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</si>
  <si>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</si>
  <si>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</si>
  <si>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</si>
  <si>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</si>
  <si>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</si>
  <si>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</si>
  <si>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</si>
  <si>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</si>
  <si>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</si>
  <si>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</si>
  <si>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</si>
  <si>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</si>
  <si>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</si>
  <si>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</si>
  <si>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</si>
  <si>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</si>
  <si>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</si>
  <si>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</si>
  <si>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</si>
  <si>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</si>
  <si>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</si>
  <si>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</si>
  <si>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</si>
  <si>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</si>
  <si>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</si>
  <si>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</si>
  <si>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</si>
  <si>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</si>
  <si>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</si>
  <si>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</si>
  <si>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</si>
  <si>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</si>
  <si>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</si>
  <si>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</si>
  <si>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</si>
  <si>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</si>
  <si>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</si>
  <si>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</si>
  <si>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</si>
  <si>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</si>
  <si>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</si>
  <si>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</si>
  <si>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</si>
  <si>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</si>
  <si>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</si>
  <si>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</si>
  <si>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</si>
  <si>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</si>
  <si>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</si>
  <si>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</si>
  <si>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</si>
  <si>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</si>
  <si>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</si>
  <si>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</si>
  <si>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</si>
  <si>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</si>
  <si>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</si>
  <si>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</si>
  <si>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</si>
  <si>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</si>
  <si>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</si>
  <si>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</si>
  <si>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</si>
  <si>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</si>
  <si>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</si>
  <si>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</si>
  <si>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</si>
  <si>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</si>
  <si>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</si>
  <si>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</si>
  <si>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</si>
  <si>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</si>
  <si>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</si>
  <si>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</si>
  <si>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</si>
  <si>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</si>
  <si>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</si>
  <si>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</si>
  <si>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</si>
  <si>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</si>
  <si>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</si>
  <si>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</si>
  <si>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</si>
  <si>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</si>
  <si>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</si>
  <si>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</si>
  <si>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</si>
  <si>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</si>
  <si>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</si>
  <si>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</si>
  <si>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</si>
  <si>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</si>
  <si>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</si>
  <si>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</si>
  <si>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</si>
  <si>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</si>
  <si>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</si>
  <si>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</si>
  <si>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</si>
  <si>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</si>
  <si>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</si>
  <si>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</si>
  <si>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</si>
  <si>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</si>
  <si>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</si>
  <si>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</si>
  <si>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</si>
  <si>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</si>
  <si>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</si>
  <si>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</si>
  <si>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</si>
  <si>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</si>
  <si>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</si>
  <si>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</si>
  <si>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</si>
  <si>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</si>
  <si>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</si>
  <si>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</si>
  <si>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</si>
  <si>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</si>
  <si>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</si>
  <si>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</si>
  <si>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</si>
  <si>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</si>
  <si>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</si>
  <si>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</si>
  <si>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</si>
  <si>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</si>
  <si>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</si>
  <si>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</si>
  <si>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</si>
  <si>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</si>
  <si>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</si>
  <si>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</si>
  <si>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</si>
  <si>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</si>
  <si>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</si>
  <si>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</si>
  <si>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</si>
  <si>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</si>
  <si>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</si>
  <si>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</si>
  <si>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</si>
  <si>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</si>
  <si>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</si>
  <si>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</si>
  <si>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</si>
  <si>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</si>
  <si>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</si>
  <si>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</si>
  <si>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</si>
  <si>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</si>
  <si>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</si>
  <si>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</si>
  <si>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</si>
  <si>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</si>
  <si>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</si>
  <si>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</si>
  <si>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</si>
  <si>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</si>
  <si>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</si>
  <si>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</si>
  <si>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</si>
  <si>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</si>
  <si>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</si>
  <si>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</si>
  <si>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</si>
  <si>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</si>
  <si>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</si>
  <si>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</si>
  <si>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</si>
  <si>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</si>
  <si>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</si>
  <si>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</si>
  <si>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</si>
  <si>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</si>
  <si>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</si>
  <si>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</si>
  <si>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</si>
  <si>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</si>
  <si>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</si>
  <si>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</si>
  <si>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</si>
  <si>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</si>
  <si>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</si>
  <si>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</si>
  <si>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</si>
  <si>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</si>
  <si>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</si>
  <si>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</si>
  <si>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</si>
  <si>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</si>
  <si>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</si>
  <si>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</si>
  <si>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</si>
  <si>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</si>
  <si>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</si>
  <si>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</si>
  <si>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</si>
  <si>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</si>
  <si>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</si>
  <si>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</si>
  <si>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</si>
  <si>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</si>
  <si>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</si>
  <si>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</si>
  <si>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</si>
  <si>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</si>
  <si>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</si>
  <si>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</si>
  <si>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</si>
  <si>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</si>
  <si>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</si>
  <si>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</si>
  <si>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</si>
  <si>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</si>
  <si>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</si>
  <si>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</si>
  <si>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</si>
  <si>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</si>
  <si>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</si>
  <si>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</si>
  <si>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</si>
  <si>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</si>
  <si>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</si>
  <si>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</si>
  <si>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</si>
  <si>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</si>
  <si>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</si>
  <si>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</si>
  <si>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</si>
  <si>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</si>
  <si>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</si>
  <si>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</si>
  <si>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</si>
  <si>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</si>
  <si>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</si>
  <si>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</si>
  <si>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</si>
  <si>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</si>
  <si>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</si>
  <si>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</si>
  <si>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</si>
  <si>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</si>
  <si>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</si>
  <si>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</si>
  <si>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</si>
  <si>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</si>
  <si>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</si>
  <si>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</si>
  <si>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</si>
  <si>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</si>
  <si>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</si>
  <si>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</si>
  <si>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</si>
  <si>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</si>
  <si>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</si>
  <si>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</si>
  <si>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</si>
  <si>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</si>
  <si>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</si>
  <si>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</si>
  <si>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</si>
  <si>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</si>
  <si>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</si>
  <si>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</si>
  <si>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</si>
  <si>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</si>
  <si>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</si>
  <si>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</si>
  <si>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</si>
  <si>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</si>
  <si>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</si>
  <si>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</si>
  <si>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</si>
  <si>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</si>
  <si>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</si>
  <si>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</si>
  <si>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</si>
  <si>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</si>
  <si>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</si>
  <si>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</si>
  <si>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</si>
  <si>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</si>
  <si>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</si>
  <si>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</si>
  <si>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</si>
  <si>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</si>
  <si>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</si>
  <si>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</si>
  <si>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</si>
  <si>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</si>
  <si>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</si>
  <si>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</si>
  <si>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</si>
  <si>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</si>
  <si>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</si>
  <si>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</si>
  <si>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</si>
  <si>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</si>
  <si>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</si>
  <si>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</si>
  <si>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</si>
  <si>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</si>
  <si>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</si>
  <si>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</si>
  <si>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</si>
  <si>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</si>
  <si>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</si>
  <si>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</si>
  <si>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</si>
  <si>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</si>
  <si>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</si>
  <si>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</si>
  <si>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</si>
  <si>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</si>
  <si>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</si>
  <si>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</si>
  <si>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</si>
  <si>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</si>
  <si>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</si>
  <si>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</si>
  <si>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</si>
  <si>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</si>
  <si>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</si>
  <si>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</si>
  <si>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</si>
  <si>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</si>
  <si>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</si>
  <si>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</si>
  <si>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</si>
  <si>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</si>
  <si>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</si>
  <si>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</si>
  <si>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</si>
  <si>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</si>
  <si>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</si>
  <si>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</si>
  <si>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</si>
  <si>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</si>
  <si>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</si>
  <si>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</si>
  <si>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</si>
  <si>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</si>
  <si>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</si>
  <si>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</si>
  <si>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</si>
  <si>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</si>
  <si>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</si>
  <si>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</si>
  <si>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</si>
  <si>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</si>
  <si>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</si>
  <si>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</si>
  <si>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</si>
  <si>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</si>
  <si>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</si>
  <si>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</si>
  <si>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</si>
  <si>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</si>
  <si>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</si>
  <si>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</si>
  <si>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</si>
  <si>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</si>
  <si>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</si>
  <si>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</si>
  <si>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</si>
  <si>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</si>
  <si>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</si>
  <si>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</si>
  <si>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</si>
  <si>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</si>
  <si>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</si>
  <si>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</si>
  <si>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</si>
  <si>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</si>
  <si>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</si>
  <si>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</si>
  <si>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</si>
  <si>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</si>
  <si>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</si>
  <si>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</si>
  <si>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</si>
  <si>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</si>
  <si>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</si>
  <si>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</si>
  <si>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</si>
  <si>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</si>
  <si>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</si>
  <si>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</si>
  <si>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</si>
  <si>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</si>
  <si>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</si>
  <si>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</si>
  <si>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</si>
  <si>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</si>
  <si>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</si>
  <si>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</si>
  <si>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</si>
  <si>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</si>
  <si>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</si>
  <si>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</si>
  <si>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</si>
  <si>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</si>
  <si>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</si>
  <si>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</si>
  <si>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</si>
  <si>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</si>
  <si>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</si>
  <si>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</si>
  <si>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</si>
  <si>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</si>
  <si>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</si>
  <si>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</si>
  <si>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</si>
  <si>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</si>
  <si>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</si>
  <si>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</si>
  <si>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</si>
  <si>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</si>
  <si>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</si>
  <si>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</si>
  <si>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</si>
  <si>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</si>
  <si>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</si>
  <si>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</si>
  <si>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</si>
  <si>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</si>
  <si>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</si>
  <si>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</si>
  <si>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</si>
  <si>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</si>
  <si>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</si>
  <si>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</si>
  <si>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</si>
  <si>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</si>
  <si>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</si>
  <si>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</si>
  <si>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</si>
  <si>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</si>
  <si>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</si>
  <si>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</si>
  <si>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</si>
  <si>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</si>
  <si>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</si>
  <si>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</si>
  <si>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</si>
  <si>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</si>
  <si>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</si>
  <si>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</si>
  <si>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</si>
  <si>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</si>
  <si>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</si>
  <si>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</si>
  <si>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</si>
  <si>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</si>
  <si>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</si>
  <si>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</si>
  <si>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</si>
  <si>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</si>
  <si>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</si>
  <si>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</si>
  <si>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</si>
  <si>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</si>
  <si>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</si>
  <si>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</si>
  <si>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</si>
  <si>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</si>
  <si>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</si>
  <si>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</si>
  <si>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</si>
  <si>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</si>
  <si>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</si>
  <si>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</si>
  <si>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</si>
  <si>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</si>
  <si>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</si>
  <si>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</si>
  <si>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</si>
  <si>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</si>
  <si>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</si>
  <si>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</si>
  <si>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</si>
  <si>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</si>
  <si>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</si>
  <si>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</si>
  <si>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</si>
  <si>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</si>
  <si>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</si>
  <si>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</si>
  <si>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</si>
  <si>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</si>
  <si>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</si>
  <si>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</si>
  <si>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</si>
  <si>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</si>
  <si>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</si>
  <si>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</si>
  <si>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</si>
  <si>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</si>
  <si>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</si>
  <si>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</si>
  <si>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</si>
  <si>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</si>
  <si>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</si>
  <si>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</si>
  <si>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</si>
  <si>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</si>
  <si>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</si>
  <si>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</si>
  <si>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</si>
  <si>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</si>
  <si>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</si>
  <si>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</si>
  <si>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</si>
  <si>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</si>
  <si>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</si>
  <si>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</si>
  <si>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</si>
  <si>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</si>
  <si>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</si>
  <si>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</si>
  <si>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</si>
  <si>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</si>
  <si>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</si>
  <si>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</si>
  <si>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</si>
  <si>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</si>
  <si>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</si>
  <si>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</si>
  <si>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</si>
  <si>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</si>
  <si>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</si>
  <si>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</si>
  <si>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</si>
  <si>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</si>
  <si>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</si>
  <si>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</si>
  <si>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</si>
  <si>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</si>
  <si>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</si>
  <si>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</si>
  <si>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</si>
  <si>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</si>
  <si>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</si>
  <si>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</si>
  <si>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</si>
  <si>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</si>
  <si>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</si>
  <si>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</si>
  <si>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</si>
  <si>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</si>
  <si>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</si>
  <si>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</si>
  <si>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</si>
  <si>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</si>
  <si>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</si>
  <si>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</si>
  <si>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</si>
  <si>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</si>
  <si>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</si>
  <si>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</si>
  <si>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</si>
  <si>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</si>
  <si>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</si>
  <si>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</si>
  <si>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</si>
  <si>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</si>
  <si>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</si>
  <si>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</si>
  <si>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</si>
  <si>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</si>
  <si>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</si>
  <si>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</si>
  <si>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</si>
  <si>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</si>
  <si>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</si>
  <si>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</si>
  <si>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</si>
  <si>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</si>
  <si>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</si>
  <si>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</si>
  <si>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</si>
  <si>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</si>
  <si>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</si>
  <si>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</si>
  <si>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</si>
  <si>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</si>
  <si>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</si>
  <si>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</si>
  <si>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</si>
  <si>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</si>
  <si>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</si>
  <si>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</si>
  <si>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</si>
  <si>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</si>
  <si>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</si>
  <si>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</si>
  <si>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</si>
  <si>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</si>
  <si>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</si>
  <si>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</si>
  <si>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</si>
  <si>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</si>
  <si>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</si>
  <si>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</si>
  <si>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</si>
  <si>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</si>
  <si>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</si>
  <si>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</si>
  <si>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</si>
  <si>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</si>
  <si>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</si>
  <si>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</si>
  <si>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</si>
  <si>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</si>
  <si>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</si>
  <si>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</si>
  <si>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</si>
  <si>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</si>
  <si>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</si>
  <si>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</si>
  <si>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</si>
  <si>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</si>
  <si>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</si>
  <si>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</si>
  <si>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</si>
  <si>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</si>
  <si>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</si>
  <si>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</si>
  <si>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</si>
  <si>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</si>
  <si>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</si>
  <si>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</si>
  <si>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</si>
  <si>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</si>
  <si>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</si>
  <si>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</si>
  <si>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</si>
  <si>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</si>
  <si>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</si>
  <si>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</si>
  <si>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</si>
  <si>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</si>
  <si>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</si>
  <si>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</si>
  <si>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</si>
  <si>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</si>
  <si>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</si>
  <si>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</si>
  <si>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</si>
  <si>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</si>
  <si>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</si>
  <si>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</si>
  <si>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</si>
  <si>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</si>
  <si>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</si>
  <si>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</si>
  <si>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</si>
  <si>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</si>
  <si>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</si>
  <si>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</si>
  <si>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</si>
  <si>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</si>
  <si>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</si>
  <si>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</si>
  <si>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</si>
  <si>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</si>
  <si>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</si>
  <si>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</si>
  <si>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</si>
  <si>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</si>
  <si>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</si>
  <si>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</si>
  <si>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</si>
  <si>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</si>
  <si>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</si>
  <si>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</si>
  <si>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</si>
  <si>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</si>
  <si>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</si>
  <si>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</si>
  <si>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</si>
  <si>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</si>
  <si>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</si>
  <si>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</si>
  <si>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</si>
  <si>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</si>
  <si>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</si>
  <si>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</si>
  <si>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</si>
  <si>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</si>
  <si>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</si>
  <si>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</si>
  <si>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</si>
  <si>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</si>
  <si>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</si>
  <si>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</si>
  <si>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</si>
  <si>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</si>
  <si>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</si>
  <si>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</si>
  <si>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</si>
  <si>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</si>
  <si>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</si>
  <si>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</si>
  <si>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</si>
  <si>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</si>
  <si>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</si>
  <si>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</si>
  <si>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</si>
  <si>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</si>
  <si>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</si>
  <si>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</si>
  <si>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</si>
  <si>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</si>
  <si>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</si>
  <si>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</si>
  <si>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</si>
  <si>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</si>
  <si>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</si>
  <si>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</si>
  <si>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</si>
  <si>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</si>
  <si>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</si>
  <si>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</si>
  <si>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</si>
  <si>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</si>
  <si>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</si>
  <si>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</si>
  <si>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</si>
  <si>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</si>
  <si>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</si>
  <si>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</si>
  <si>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</si>
  <si>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</si>
  <si>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</si>
  <si>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</si>
  <si>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</si>
  <si>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</si>
  <si>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</si>
  <si>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</si>
  <si>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</si>
  <si>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</si>
  <si>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</si>
  <si>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</si>
  <si>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</si>
  <si>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</si>
  <si>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</si>
  <si>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</si>
  <si>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</si>
  <si>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</si>
  <si>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</si>
  <si>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</si>
  <si>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</si>
  <si>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</si>
  <si>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</si>
  <si>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</si>
  <si>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</si>
  <si>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</si>
  <si>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</si>
  <si>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</si>
  <si>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</si>
  <si>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</si>
  <si>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</si>
  <si>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</si>
  <si>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</si>
  <si>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</si>
  <si>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</si>
  <si>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</si>
  <si>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</si>
  <si>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</si>
  <si>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</si>
  <si>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</si>
  <si>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</si>
  <si>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</si>
  <si>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</si>
  <si>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</si>
  <si>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</si>
  <si>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</si>
  <si>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</si>
  <si>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</si>
  <si>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</si>
  <si>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</si>
  <si>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</si>
  <si>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</si>
  <si>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</si>
  <si>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</si>
  <si>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</si>
  <si>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</si>
  <si>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</si>
  <si>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</si>
  <si>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</si>
  <si>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</si>
  <si>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</si>
  <si>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</si>
  <si>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</si>
  <si>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</si>
  <si>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</si>
  <si>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</si>
  <si>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</si>
  <si>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</si>
  <si>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</si>
  <si>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</si>
  <si>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</si>
  <si>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</si>
  <si>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</si>
  <si>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</si>
  <si>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</si>
  <si>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</si>
  <si>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</si>
  <si>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</si>
  <si>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</si>
  <si>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</si>
  <si>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</si>
  <si>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</si>
  <si>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</si>
  <si>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</si>
  <si>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</si>
  <si>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</si>
  <si>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</si>
  <si>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</si>
  <si>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</si>
  <si>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</si>
  <si>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</si>
  <si>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</si>
  <si>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</si>
  <si>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</si>
  <si>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</si>
  <si>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</si>
  <si>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</si>
  <si>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</si>
  <si>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</si>
  <si>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</si>
  <si>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</si>
  <si>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</si>
  <si>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</si>
  <si>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</si>
  <si>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</si>
  <si>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</si>
  <si>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</si>
  <si>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</si>
  <si>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</si>
  <si>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</si>
  <si>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</si>
  <si>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</si>
  <si>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</si>
  <si>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</si>
  <si>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</si>
  <si>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</si>
  <si>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</si>
  <si>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</si>
  <si>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</si>
  <si>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</si>
  <si>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</si>
  <si>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</si>
  <si>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</si>
  <si>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</si>
  <si>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</si>
  <si>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</si>
  <si>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</si>
  <si>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</si>
  <si>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</si>
  <si>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</si>
  <si>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</si>
  <si>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</si>
  <si>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</si>
  <si>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</si>
  <si>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</si>
  <si>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</si>
  <si>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</si>
  <si>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</si>
  <si>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</si>
  <si>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</si>
  <si>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</si>
  <si>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</si>
  <si>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</si>
  <si>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</si>
  <si>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</si>
  <si>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</si>
  <si>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</si>
  <si>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</si>
  <si>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</si>
  <si>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</si>
  <si>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</si>
  <si>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</si>
  <si>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</si>
  <si>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</si>
  <si>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</si>
  <si>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</si>
  <si>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</si>
  <si>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</si>
  <si>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</si>
  <si>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</si>
  <si>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</si>
  <si>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</si>
  <si>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</si>
  <si>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</si>
  <si>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</si>
  <si>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</si>
  <si>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</si>
  <si>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</si>
  <si>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</si>
  <si>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</si>
  <si>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</si>
  <si>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</si>
  <si>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</si>
  <si>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</si>
  <si>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</si>
  <si>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</si>
  <si>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</si>
  <si>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</si>
  <si>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</si>
  <si>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</si>
  <si>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</si>
  <si>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</si>
  <si>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</si>
  <si>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</si>
  <si>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</si>
  <si>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</si>
  <si>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</si>
  <si>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</si>
  <si>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</si>
  <si>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</si>
  <si>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</si>
  <si>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</si>
  <si>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</si>
  <si>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</si>
  <si>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</si>
  <si>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</si>
  <si>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</si>
  <si>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</si>
  <si>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</si>
  <si>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</si>
  <si>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</si>
  <si>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</si>
  <si>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</si>
  <si>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</si>
  <si>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</si>
  <si>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</si>
  <si>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</si>
  <si>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</si>
  <si>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</si>
  <si>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</si>
  <si>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</si>
  <si>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</si>
  <si>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</si>
  <si>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</si>
  <si>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</si>
  <si>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</si>
  <si>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</si>
  <si>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</si>
  <si>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</si>
  <si>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</si>
  <si>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</si>
  <si>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</si>
  <si>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</si>
  <si>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</si>
  <si>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</si>
  <si>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</si>
  <si>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</si>
  <si>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</si>
  <si>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</si>
  <si>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</si>
  <si>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</si>
  <si>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</si>
  <si>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</si>
  <si>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</si>
  <si>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</si>
  <si>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</si>
  <si>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</si>
  <si>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</si>
  <si>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</si>
  <si>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</si>
  <si>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</si>
  <si>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</si>
  <si>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</si>
  <si>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</si>
  <si>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</si>
  <si>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</si>
  <si>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</si>
  <si>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</si>
  <si>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</si>
  <si>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</si>
  <si>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</si>
  <si>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</si>
  <si>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</si>
  <si>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</si>
  <si>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</si>
  <si>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</si>
  <si>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</si>
  <si>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</si>
  <si>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</si>
  <si>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</si>
  <si>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</si>
  <si>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</si>
  <si>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</si>
  <si>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</si>
  <si>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</si>
  <si>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</si>
  <si>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</si>
  <si>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</si>
  <si>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</si>
  <si>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</si>
  <si>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</si>
  <si>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</si>
  <si>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</si>
  <si>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</si>
  <si>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</si>
  <si>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</si>
  <si>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</si>
  <si>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</si>
  <si>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</si>
  <si>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</si>
  <si>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</si>
  <si>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</si>
  <si>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</si>
  <si>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</si>
  <si>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</si>
  <si>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</si>
  <si>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</si>
  <si>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</si>
  <si>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</si>
  <si>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</si>
  <si>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</si>
  <si>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</si>
  <si>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</si>
  <si>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</si>
  <si>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</si>
  <si>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</si>
  <si>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</si>
  <si>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</si>
  <si>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</si>
  <si>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</si>
  <si>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</si>
  <si>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</si>
  <si>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</si>
  <si>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</si>
  <si>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</si>
  <si>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</si>
  <si>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</si>
  <si>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</si>
  <si>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</si>
  <si>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</si>
  <si>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</si>
  <si>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</si>
  <si>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</si>
  <si>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</si>
  <si>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</si>
  <si>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</si>
  <si>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</si>
  <si>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</si>
  <si>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</si>
  <si>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</si>
  <si>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</si>
  <si>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</si>
  <si>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</si>
  <si>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</si>
  <si>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</si>
  <si>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</si>
  <si>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</si>
  <si>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</si>
  <si>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</si>
  <si>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</si>
  <si>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</si>
  <si>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</si>
  <si>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</si>
  <si>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</si>
  <si>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</si>
  <si>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</si>
  <si>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</si>
  <si>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</si>
  <si>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</si>
  <si>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</si>
  <si>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</si>
  <si>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</si>
  <si>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</si>
  <si>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</si>
  <si>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</si>
  <si>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</si>
  <si>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</si>
  <si>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</si>
  <si>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</si>
  <si>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</si>
  <si>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</si>
  <si>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</si>
  <si>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</si>
  <si>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</si>
  <si>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</si>
  <si>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</si>
  <si>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</si>
  <si>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</si>
  <si>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</si>
  <si>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</si>
  <si>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</si>
  <si>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</si>
  <si>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</si>
  <si>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</si>
  <si>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</si>
  <si>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</si>
  <si>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</si>
  <si>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</si>
  <si>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</si>
  <si>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</si>
  <si>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</si>
  <si>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</si>
  <si>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</si>
  <si>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</si>
  <si>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</si>
  <si>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</si>
  <si>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</si>
  <si>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</si>
  <si>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</si>
  <si>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</si>
  <si>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</si>
  <si>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</si>
  <si>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</si>
  <si>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</si>
  <si>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</si>
  <si>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</si>
  <si>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</si>
  <si>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</si>
  <si>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</si>
  <si>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</si>
  <si>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</si>
  <si>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</si>
  <si>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</si>
  <si>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</si>
  <si>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</si>
  <si>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</si>
  <si>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</si>
  <si>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</si>
  <si>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</si>
  <si>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</si>
  <si>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</si>
  <si>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</si>
  <si>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</si>
  <si>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</si>
  <si>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</si>
  <si>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</si>
  <si>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</si>
  <si>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</si>
  <si>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</si>
  <si>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</si>
  <si>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</si>
  <si>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</si>
  <si>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</si>
  <si>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</si>
  <si>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</si>
  <si>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</si>
  <si>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</si>
  <si>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</si>
  <si>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</si>
  <si>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</si>
  <si>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</si>
  <si>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</si>
  <si>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</si>
  <si>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</si>
  <si>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</si>
  <si>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</si>
  <si>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</si>
  <si>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</si>
  <si>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</si>
  <si>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</si>
  <si>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</si>
  <si>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</si>
  <si>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</si>
  <si>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</si>
  <si>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</si>
  <si>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</si>
  <si>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</si>
  <si>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</si>
  <si>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</si>
  <si>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</si>
  <si>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</si>
  <si>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</si>
  <si>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</si>
  <si>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</si>
  <si>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</si>
  <si>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</si>
  <si>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</si>
  <si>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</si>
  <si>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</si>
  <si>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</si>
  <si>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</si>
  <si>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</si>
  <si>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</si>
  <si>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</si>
  <si>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</si>
  <si>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</si>
  <si>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</si>
  <si>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</si>
  <si>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</si>
  <si>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</si>
  <si>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</si>
  <si>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</si>
  <si>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</si>
  <si>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</si>
  <si>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</si>
  <si>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</si>
  <si>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</si>
  <si>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</si>
  <si>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</si>
  <si>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</si>
  <si>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</si>
  <si>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</si>
  <si>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</si>
  <si>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</si>
  <si>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</si>
  <si>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</si>
  <si>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</si>
  <si>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</si>
  <si>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</si>
  <si>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</si>
  <si>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</si>
  <si>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</si>
  <si>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</si>
  <si>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</si>
  <si>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</si>
  <si>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</si>
  <si>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</si>
  <si>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</si>
  <si>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</si>
  <si>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</si>
  <si>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</si>
  <si>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</si>
  <si>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</si>
  <si>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</si>
  <si>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</si>
  <si>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</si>
  <si>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</si>
  <si>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</si>
  <si>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</si>
  <si>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</si>
  <si>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</si>
  <si>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</si>
  <si>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</si>
  <si>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</si>
  <si>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</si>
  <si>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</si>
  <si>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</si>
  <si>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</si>
  <si>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</si>
  <si>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</si>
  <si>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</si>
  <si>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</si>
  <si>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</si>
  <si>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</si>
  <si>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</si>
  <si>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</si>
  <si>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</si>
  <si>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</si>
  <si>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</si>
  <si>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</si>
  <si>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</si>
  <si>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</si>
  <si>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</si>
  <si>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</si>
  <si>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</si>
  <si>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</si>
  <si>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</si>
  <si>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</si>
  <si>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</si>
  <si>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</si>
  <si>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</si>
  <si>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</si>
  <si>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</si>
  <si>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</si>
  <si>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</si>
  <si>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</si>
  <si>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</si>
  <si>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</si>
  <si>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</si>
  <si>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</si>
  <si>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</si>
  <si>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</si>
  <si>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</si>
  <si>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</si>
  <si>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</si>
  <si>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</si>
  <si>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</si>
  <si>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</si>
  <si>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</si>
  <si>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</si>
  <si>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</si>
  <si>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</si>
  <si>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</si>
  <si>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</si>
  <si>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</si>
  <si>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</si>
  <si>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</si>
  <si>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</si>
  <si>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</si>
  <si>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</si>
  <si>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</si>
  <si>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</si>
  <si>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</si>
  <si>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</si>
  <si>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</si>
  <si>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</si>
  <si>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</si>
  <si>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</si>
  <si>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</si>
  <si>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</si>
  <si>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</si>
  <si>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</si>
  <si>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</si>
  <si>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</si>
  <si>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</si>
  <si>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</si>
  <si>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</si>
  <si>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</si>
  <si>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</si>
  <si>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</si>
  <si>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</si>
  <si>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</si>
  <si>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</si>
  <si>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</si>
  <si>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</si>
  <si>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</si>
  <si>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</si>
  <si>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</si>
  <si>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</si>
  <si>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</si>
  <si>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</si>
  <si>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</si>
  <si>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</si>
  <si>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</si>
  <si>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</si>
  <si>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</si>
  <si>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</si>
  <si>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</si>
  <si>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</si>
  <si>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</si>
  <si>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</si>
  <si>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</si>
  <si>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</si>
  <si>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</si>
  <si>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</si>
  <si>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</si>
  <si>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</si>
  <si>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</si>
  <si>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</si>
  <si>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</si>
  <si>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</si>
  <si>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</si>
  <si>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</si>
  <si>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</si>
  <si>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</si>
  <si>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</si>
  <si>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</si>
  <si>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</si>
  <si>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</si>
  <si>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</si>
  <si>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</si>
  <si>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</si>
  <si>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</si>
  <si>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</si>
  <si>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</si>
  <si>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</si>
  <si>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</si>
  <si>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</si>
  <si>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</si>
  <si>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</si>
  <si>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</si>
  <si>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</si>
  <si>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</si>
  <si>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</si>
  <si>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</si>
  <si>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</si>
  <si>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</si>
  <si>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</si>
  <si>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</si>
  <si>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</si>
  <si>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</si>
  <si>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</si>
  <si>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</si>
  <si>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</si>
  <si>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</si>
  <si>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</si>
  <si>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</si>
  <si>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</si>
  <si>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</si>
  <si>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</si>
  <si>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</si>
  <si>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</si>
  <si>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</si>
  <si>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</si>
  <si>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</si>
  <si>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</si>
  <si>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</si>
  <si>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</si>
  <si>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</si>
  <si>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</si>
  <si>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</si>
  <si>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</si>
  <si>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</si>
  <si>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</si>
  <si>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</si>
  <si>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</si>
  <si>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</si>
  <si>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</si>
  <si>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</si>
  <si>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</si>
  <si>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</si>
  <si>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</si>
  <si>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</si>
  <si>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</si>
  <si>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</si>
  <si>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</si>
  <si>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</si>
  <si>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</si>
  <si>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</si>
  <si>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</si>
  <si>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</si>
  <si>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</si>
  <si>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</si>
  <si>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</si>
  <si>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</si>
  <si>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</si>
  <si>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</si>
  <si>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</si>
  <si>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</si>
  <si>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</si>
  <si>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</si>
  <si>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</si>
  <si>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</si>
  <si>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</si>
  <si>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</si>
  <si>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</si>
  <si>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</si>
  <si>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</si>
  <si>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</si>
  <si>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</si>
  <si>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</si>
  <si>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</si>
  <si>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</si>
  <si>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</si>
  <si>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</si>
  <si>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</si>
  <si>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</si>
  <si>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</si>
  <si>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</si>
  <si>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</si>
  <si>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</si>
  <si>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</si>
  <si>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</si>
  <si>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</si>
  <si>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</si>
  <si>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</si>
  <si>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</si>
  <si>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</si>
  <si>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</si>
  <si>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</si>
  <si>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</si>
  <si>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</si>
  <si>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</si>
  <si>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</si>
  <si>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</si>
  <si>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</si>
  <si>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</si>
  <si>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</si>
  <si>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</si>
  <si>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</si>
  <si>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</si>
  <si>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</si>
  <si>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</si>
  <si>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</si>
  <si>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</si>
  <si>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</si>
  <si>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</si>
  <si>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</si>
  <si>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</si>
  <si>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</si>
  <si>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</si>
  <si>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</si>
  <si>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</si>
  <si>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</si>
  <si>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</si>
  <si>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</si>
  <si>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</si>
  <si>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</si>
  <si>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</si>
  <si>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</si>
  <si>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</si>
  <si>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</si>
  <si>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</si>
  <si>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</si>
  <si>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</si>
  <si>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</si>
  <si>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</si>
  <si>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</si>
  <si>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</si>
  <si>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</si>
  <si>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</si>
  <si>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</si>
  <si>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</si>
  <si>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</si>
  <si>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</si>
  <si>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</si>
  <si>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</si>
  <si>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</si>
  <si>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</si>
  <si>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</si>
  <si>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</si>
  <si>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</si>
  <si>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</si>
  <si>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</si>
  <si>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</si>
  <si>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</si>
  <si>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</si>
  <si>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</si>
  <si>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</si>
  <si>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</si>
  <si>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</si>
  <si>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</si>
  <si>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</si>
  <si>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</si>
  <si>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</si>
  <si>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</si>
  <si>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</si>
  <si>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</si>
  <si>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</si>
  <si>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</si>
  <si>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</si>
  <si>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</si>
  <si>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</si>
  <si>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</si>
  <si>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</si>
  <si>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</si>
  <si>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</si>
  <si>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</si>
  <si>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</si>
  <si>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</si>
  <si>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</si>
  <si>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</si>
  <si>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</si>
  <si>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</si>
  <si>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</si>
  <si>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</si>
  <si>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</si>
  <si>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</si>
  <si>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</si>
  <si>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</si>
  <si>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</si>
  <si>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</si>
  <si>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</si>
  <si>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</si>
  <si>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</si>
  <si>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</si>
  <si>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</si>
  <si>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</si>
  <si>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</si>
  <si>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</si>
  <si>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</si>
  <si>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</si>
  <si>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</si>
  <si>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</si>
  <si>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</si>
  <si>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</si>
  <si>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</si>
  <si>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</si>
  <si>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</si>
  <si>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</si>
  <si>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</si>
  <si>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</si>
  <si>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</si>
  <si>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</si>
  <si>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</si>
  <si>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</si>
  <si>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</si>
  <si>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</si>
  <si>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</si>
  <si>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</si>
  <si>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</si>
  <si>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</si>
  <si>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</si>
  <si>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</si>
  <si>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</si>
  <si>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</si>
  <si>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</si>
  <si>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</si>
  <si>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</si>
  <si>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</si>
  <si>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</si>
  <si>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</si>
  <si>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</si>
  <si>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</si>
  <si>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</si>
  <si>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</si>
  <si>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</si>
  <si>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</si>
  <si>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</si>
  <si>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</si>
  <si>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</si>
  <si>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</si>
  <si>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</si>
  <si>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</si>
  <si>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</si>
  <si>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</si>
  <si>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</si>
  <si>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</si>
  <si>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</si>
  <si>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</si>
  <si>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</si>
  <si>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</si>
  <si>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</si>
  <si>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</si>
  <si>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</si>
  <si>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</si>
  <si>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</si>
  <si>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</si>
  <si>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</si>
  <si>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</si>
  <si>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</si>
  <si>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</si>
  <si>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</si>
  <si>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</si>
  <si>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</si>
  <si>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</si>
  <si>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</si>
  <si>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</si>
  <si>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</si>
  <si>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</si>
  <si>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</si>
  <si>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</si>
  <si>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</si>
  <si>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</si>
  <si>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</si>
  <si>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</si>
  <si>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</si>
  <si>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</si>
  <si>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</si>
  <si>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</si>
  <si>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</si>
  <si>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</si>
  <si>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</si>
  <si>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</si>
  <si>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</si>
  <si>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</si>
  <si>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</si>
  <si>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</si>
  <si>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</si>
  <si>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</si>
  <si>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</si>
  <si>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</si>
  <si>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</si>
  <si>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</si>
  <si>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</si>
  <si>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</si>
  <si>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</si>
  <si>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</si>
  <si>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</si>
  <si>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</si>
  <si>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</si>
  <si>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</si>
  <si>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</si>
  <si>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</si>
  <si>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</si>
  <si>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</si>
  <si>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</si>
  <si>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</si>
  <si>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</si>
  <si>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</si>
  <si>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</si>
  <si>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</si>
  <si>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</si>
  <si>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</si>
  <si>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</si>
  <si>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</si>
  <si>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</si>
  <si>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</si>
  <si>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</si>
  <si>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</si>
  <si>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</si>
  <si>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</si>
  <si>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</si>
  <si>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</si>
  <si>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</si>
  <si>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</si>
  <si>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</si>
  <si>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</si>
  <si>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</si>
  <si>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</si>
  <si>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</si>
  <si>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</si>
  <si>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</si>
  <si>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</si>
  <si>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</si>
  <si>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</si>
  <si>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</si>
  <si>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</si>
  <si>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</si>
  <si>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</si>
  <si>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</si>
  <si>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</si>
  <si>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</si>
  <si>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</si>
  <si>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</si>
  <si>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</si>
  <si>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</si>
  <si>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</si>
  <si>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</si>
  <si>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</si>
  <si>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</si>
  <si>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</si>
  <si>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</si>
  <si>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</si>
  <si>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</si>
  <si>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</si>
  <si>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</si>
  <si>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</si>
  <si>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</si>
  <si>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</si>
  <si>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</si>
  <si>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</si>
  <si>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</si>
  <si>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</si>
  <si>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</si>
  <si>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</si>
  <si>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</si>
  <si>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</si>
  <si>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</si>
  <si>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</si>
  <si>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</si>
  <si>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</si>
  <si>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</si>
  <si>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</si>
  <si>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</si>
  <si>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</si>
  <si>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</si>
  <si>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</si>
  <si>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</si>
  <si>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</si>
  <si>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</si>
  <si>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</si>
  <si>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</si>
  <si>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</si>
  <si>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</si>
  <si>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</si>
  <si>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</si>
  <si>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</si>
  <si>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</si>
  <si>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</si>
  <si>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</si>
  <si>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</si>
  <si>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</si>
  <si>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</si>
  <si>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</si>
  <si>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</si>
  <si>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</si>
  <si>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</si>
  <si>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</si>
  <si>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</si>
  <si>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</si>
  <si>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</si>
  <si>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</si>
  <si>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</si>
  <si>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</si>
  <si>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</si>
  <si>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</si>
  <si>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</si>
  <si>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</si>
  <si>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</si>
  <si>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</si>
  <si>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</si>
  <si>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</si>
  <si>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</si>
  <si>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</si>
  <si>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</si>
  <si>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</si>
  <si>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</si>
  <si>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</si>
  <si>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</si>
  <si>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</si>
  <si>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</si>
  <si>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</si>
  <si>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</si>
  <si>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</si>
  <si>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</si>
  <si>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</si>
  <si>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</si>
  <si>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</si>
  <si>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</si>
  <si>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</si>
  <si>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</si>
  <si>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</si>
  <si>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</si>
  <si>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</si>
  <si>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</si>
  <si>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</si>
  <si>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</si>
  <si>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</si>
  <si>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</si>
  <si>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</si>
  <si>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</si>
  <si>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</si>
  <si>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</si>
  <si>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</si>
  <si>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</si>
  <si>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</si>
  <si>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</si>
  <si>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</si>
  <si>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</si>
  <si>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</si>
  <si>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</si>
  <si>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</si>
  <si>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</si>
  <si>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</si>
  <si>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</si>
  <si>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</si>
  <si>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</si>
  <si>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</si>
  <si>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</si>
  <si>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</si>
  <si>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</si>
  <si>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</si>
  <si>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</si>
  <si>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</si>
  <si>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</si>
  <si>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</si>
  <si>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</si>
  <si>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</si>
  <si>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</si>
  <si>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</si>
  <si>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</si>
  <si>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</si>
  <si>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</si>
  <si>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</si>
  <si>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</si>
  <si>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</si>
  <si>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</si>
  <si>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</si>
  <si>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</si>
  <si>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</si>
  <si>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</si>
  <si>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</si>
  <si>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</si>
  <si>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</si>
  <si>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</si>
  <si>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</si>
  <si>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</si>
  <si>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</si>
  <si>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</si>
  <si>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</si>
  <si>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</si>
  <si>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</si>
  <si>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</si>
  <si>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</si>
  <si>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</si>
  <si>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</si>
  <si>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</si>
  <si>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</si>
  <si>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</si>
  <si>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</si>
  <si>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</si>
  <si>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</si>
  <si>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</si>
  <si>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</si>
  <si>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</si>
  <si>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</si>
  <si>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</si>
  <si>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</si>
  <si>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</si>
  <si>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</si>
  <si>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</si>
  <si>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</si>
  <si>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</si>
  <si>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</si>
  <si>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</si>
  <si>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</si>
  <si>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</si>
  <si>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</si>
  <si>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</si>
  <si>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</si>
  <si>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</si>
  <si>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</si>
  <si>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</si>
  <si>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</si>
  <si>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</si>
  <si>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</si>
  <si>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</si>
  <si>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</si>
  <si>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</si>
  <si>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</si>
  <si>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</si>
  <si>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</si>
  <si>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</si>
  <si>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</si>
  <si>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</si>
  <si>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</si>
  <si>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</si>
  <si>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</si>
  <si>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</si>
  <si>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</si>
  <si>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</si>
  <si>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</si>
  <si>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</si>
  <si>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</si>
  <si>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</si>
  <si>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</si>
  <si>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</si>
  <si>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</si>
  <si>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</si>
  <si>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</si>
  <si>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</si>
  <si>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</si>
  <si>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</si>
  <si>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</si>
  <si>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</si>
  <si>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</si>
  <si>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</si>
  <si>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</si>
  <si>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</si>
  <si>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</si>
  <si>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</si>
  <si>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</si>
  <si>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</si>
  <si>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</si>
  <si>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</si>
  <si>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</si>
  <si>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</si>
  <si>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</si>
  <si>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</si>
  <si>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</si>
  <si>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</si>
  <si>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</si>
  <si>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</si>
  <si>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</si>
  <si>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</si>
  <si>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</si>
  <si>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</si>
  <si>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</si>
  <si>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</si>
  <si>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</si>
  <si>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</si>
  <si>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</si>
  <si>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</si>
  <si>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</si>
  <si>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</si>
  <si>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</si>
  <si>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</si>
  <si>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</si>
  <si>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</si>
  <si>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</si>
  <si>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</si>
  <si>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</si>
  <si>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</si>
  <si>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</si>
  <si>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</si>
  <si>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</si>
  <si>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</si>
  <si>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</si>
  <si>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</si>
  <si>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</si>
  <si>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</si>
  <si>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</si>
  <si>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</si>
  <si>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</si>
  <si>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</si>
  <si>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</si>
  <si>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</si>
  <si>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</si>
  <si>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</si>
  <si>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</si>
  <si>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</si>
  <si>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</si>
  <si>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</si>
  <si>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</si>
  <si>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</si>
  <si>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</si>
  <si>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</si>
  <si>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</si>
  <si>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</si>
  <si>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</si>
  <si>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</si>
  <si>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</si>
  <si>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</si>
  <si>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</si>
  <si>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</si>
  <si>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</si>
  <si>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</si>
  <si>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</si>
  <si>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</si>
  <si>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</si>
  <si>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</si>
  <si>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</si>
  <si>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</si>
  <si>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</si>
  <si>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</si>
  <si>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</si>
  <si>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</si>
  <si>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</si>
  <si>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</si>
  <si>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</si>
  <si>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</si>
  <si>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</si>
  <si>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</si>
  <si>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</si>
  <si>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</si>
  <si>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</si>
  <si>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</si>
  <si>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</si>
  <si>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</si>
  <si>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</si>
  <si>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</si>
  <si>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</si>
  <si>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</si>
  <si>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</si>
  <si>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</si>
  <si>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</si>
  <si>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</si>
  <si>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</si>
  <si>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</si>
  <si>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</si>
  <si>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</si>
  <si>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</si>
  <si>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</si>
  <si>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</si>
  <si>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</si>
  <si>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</si>
  <si>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</si>
  <si>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</si>
  <si>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</si>
  <si>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</si>
  <si>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</si>
  <si>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</si>
  <si>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</si>
  <si>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</si>
  <si>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</si>
  <si>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</si>
  <si>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</si>
  <si>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</si>
  <si>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</si>
  <si>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</si>
  <si>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</si>
  <si>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</si>
  <si>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</si>
  <si>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</si>
  <si>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</si>
  <si>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</si>
  <si>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</si>
  <si>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</si>
  <si>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</si>
  <si>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</si>
  <si>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</si>
  <si>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</si>
  <si>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</si>
  <si>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</si>
  <si>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</si>
  <si>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</si>
  <si>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</si>
  <si>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</si>
  <si>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</si>
  <si>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</si>
  <si>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</si>
  <si>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</si>
  <si>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</si>
  <si>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</si>
  <si>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</si>
  <si>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</si>
  <si>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</si>
  <si>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</si>
  <si>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</si>
  <si>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</si>
  <si>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</si>
  <si>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</si>
  <si>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</si>
  <si>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</si>
  <si>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</si>
  <si>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</si>
  <si>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</si>
  <si>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</si>
  <si>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</si>
  <si>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</si>
  <si>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</si>
  <si>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</si>
  <si>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</si>
  <si>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</si>
  <si>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</si>
  <si>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</si>
  <si>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</si>
  <si>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</si>
  <si>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</si>
  <si>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</si>
  <si>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</si>
  <si>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</si>
  <si>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</si>
  <si>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</si>
  <si>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</si>
  <si>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</si>
  <si>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</si>
  <si>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</si>
  <si>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</si>
  <si>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</si>
  <si>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</si>
  <si>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</si>
  <si>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</si>
  <si>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</si>
  <si>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</si>
  <si>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</si>
  <si>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</si>
  <si>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</si>
  <si>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</si>
  <si>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</si>
  <si>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</si>
  <si>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</si>
  <si>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</si>
  <si>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</si>
  <si>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</si>
  <si>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</si>
  <si>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</si>
  <si>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</si>
  <si>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</si>
  <si>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</si>
  <si>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</si>
  <si>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</si>
  <si>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</si>
  <si>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</si>
  <si>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</si>
  <si>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</si>
  <si>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</si>
  <si>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</si>
  <si>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</si>
  <si>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</si>
  <si>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</si>
  <si>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</si>
  <si>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</si>
  <si>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</si>
  <si>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</si>
  <si>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</si>
  <si>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</si>
  <si>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</si>
  <si>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</si>
  <si>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</si>
  <si>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</si>
  <si>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</si>
  <si>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</si>
  <si>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</si>
  <si>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</si>
  <si>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</si>
  <si>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</si>
  <si>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</si>
  <si>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</si>
  <si>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</si>
  <si>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</si>
  <si>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</si>
  <si>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</si>
  <si>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</si>
  <si>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</si>
  <si>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</si>
  <si>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</si>
  <si>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</si>
  <si>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</si>
  <si>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</si>
  <si>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</si>
  <si>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</si>
  <si>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</si>
  <si>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</si>
  <si>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</si>
  <si>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</si>
  <si>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</si>
  <si>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</si>
  <si>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</si>
  <si>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</si>
  <si>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</si>
  <si>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</si>
  <si>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</si>
  <si>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</si>
  <si>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</si>
  <si>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</si>
  <si>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</si>
  <si>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</si>
  <si>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</si>
  <si>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</si>
  <si>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</si>
  <si>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</si>
  <si>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</si>
  <si>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</si>
  <si>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</si>
  <si>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</si>
  <si>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</si>
  <si>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</si>
  <si>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</si>
  <si>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</si>
  <si>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</si>
  <si>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</si>
  <si>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</si>
  <si>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</si>
  <si>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</si>
  <si>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</si>
  <si>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</si>
  <si>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</si>
  <si>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</si>
  <si>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</si>
  <si>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</si>
  <si>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</si>
  <si>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</si>
  <si>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</si>
  <si>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</si>
  <si>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</si>
  <si>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</si>
  <si>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</si>
  <si>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</si>
  <si>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</si>
  <si>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</si>
  <si>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</si>
  <si>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</si>
  <si>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</si>
  <si>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</si>
  <si>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</si>
  <si>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</si>
  <si>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</si>
  <si>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</si>
  <si>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</si>
  <si>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</si>
  <si>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</si>
  <si>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</si>
  <si>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</si>
  <si>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</si>
  <si>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</si>
  <si>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</si>
  <si>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</si>
  <si>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</si>
  <si>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</si>
  <si>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</si>
  <si>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</si>
  <si>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</si>
  <si>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</si>
  <si>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</si>
  <si>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</si>
  <si>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</si>
  <si>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</si>
  <si>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</si>
  <si>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</si>
  <si>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</si>
  <si>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</si>
  <si>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</si>
  <si>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</si>
  <si>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</si>
  <si>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</si>
  <si>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</si>
  <si>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</si>
  <si>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</si>
  <si>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</si>
  <si>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</si>
  <si>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</si>
  <si>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</si>
  <si>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</si>
  <si>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</si>
  <si>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</si>
  <si>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</si>
  <si>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</si>
  <si>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</si>
  <si>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</si>
  <si>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</si>
  <si>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</si>
  <si>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</si>
  <si>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</si>
  <si>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</si>
  <si>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</si>
  <si>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</si>
  <si>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</si>
  <si>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</si>
  <si>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</si>
  <si>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</si>
  <si>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</si>
  <si>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</si>
  <si>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</si>
  <si>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</si>
  <si>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</si>
  <si>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</si>
  <si>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</si>
  <si>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</si>
  <si>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</si>
  <si>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</si>
  <si>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</si>
  <si>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</si>
  <si>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</si>
  <si>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</si>
  <si>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</si>
  <si>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</si>
  <si>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</si>
  <si>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</si>
  <si>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</si>
  <si>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</si>
  <si>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</si>
  <si>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</si>
  <si>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</si>
  <si>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</si>
  <si>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</si>
  <si>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</si>
  <si>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</si>
  <si>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</si>
  <si>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</si>
  <si>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</si>
  <si>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</si>
  <si>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</si>
  <si>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</si>
  <si>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</si>
  <si>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</si>
  <si>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</si>
  <si>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</si>
  <si>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</si>
  <si>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</si>
  <si>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</si>
  <si>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</si>
  <si>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</si>
  <si>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</si>
  <si>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</si>
  <si>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</si>
  <si>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</si>
  <si>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</si>
  <si>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</si>
  <si>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</si>
  <si>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</si>
  <si>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</si>
  <si>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</si>
  <si>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</si>
  <si>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</si>
  <si>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</si>
  <si>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</si>
  <si>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</si>
  <si>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</si>
  <si>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</si>
  <si>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</si>
  <si>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</si>
  <si>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</si>
  <si>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</si>
  <si>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</si>
  <si>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</si>
  <si>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</si>
  <si>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</si>
  <si>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</si>
  <si>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</si>
  <si>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</si>
  <si>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</si>
  <si>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</si>
  <si>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</si>
  <si>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</si>
  <si>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</si>
  <si>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</si>
  <si>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</si>
  <si>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</si>
  <si>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</si>
  <si>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</si>
  <si>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</si>
  <si>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</si>
  <si>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</si>
  <si>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</si>
  <si>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</si>
  <si>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</si>
  <si>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</si>
  <si>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</si>
  <si>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</si>
  <si>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</si>
  <si>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</si>
  <si>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</si>
  <si>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</si>
  <si>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</si>
  <si>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</si>
  <si>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</si>
  <si>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</si>
  <si>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</si>
  <si>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</si>
  <si>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</si>
  <si>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</si>
  <si>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</si>
  <si>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</si>
  <si>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</si>
  <si>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</si>
  <si>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</si>
  <si>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</si>
  <si>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</si>
  <si>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</si>
  <si>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</si>
  <si>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</si>
  <si>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</si>
  <si>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</si>
  <si>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</si>
  <si>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</si>
  <si>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</si>
  <si>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</si>
  <si>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</si>
  <si>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</si>
  <si>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</si>
  <si>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</si>
  <si>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</si>
  <si>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</si>
  <si>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</si>
  <si>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</si>
  <si>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</si>
  <si>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</si>
  <si>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</si>
  <si>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</si>
  <si>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</si>
  <si>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</si>
  <si>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</si>
  <si>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</si>
  <si>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</si>
  <si>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</si>
  <si>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</si>
  <si>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</si>
  <si>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</si>
  <si>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</si>
  <si>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</si>
  <si>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</si>
  <si>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</si>
  <si>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</si>
  <si>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</si>
  <si>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</si>
  <si>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</si>
  <si>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</si>
  <si>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</si>
  <si>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</si>
  <si>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</si>
  <si>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</si>
  <si>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</si>
  <si>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</si>
  <si>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</si>
  <si>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</si>
  <si>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</si>
  <si>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</si>
  <si>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</si>
  <si>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</si>
  <si>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</si>
  <si>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</si>
  <si>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</si>
  <si>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</si>
  <si>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</si>
  <si>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</si>
  <si>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</si>
  <si>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</si>
  <si>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</si>
  <si>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</si>
  <si>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</si>
  <si>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</si>
  <si>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</si>
  <si>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</si>
  <si>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</si>
  <si>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</si>
  <si>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</si>
  <si>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</si>
  <si>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</si>
  <si>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</si>
  <si>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</si>
  <si>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</si>
  <si>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</si>
  <si>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</si>
  <si>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</si>
  <si>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</si>
  <si>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</si>
  <si>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</si>
  <si>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</si>
  <si>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</si>
  <si>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</si>
  <si>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</si>
  <si>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</si>
  <si>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</si>
  <si>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</si>
  <si>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</si>
  <si>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</si>
  <si>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</si>
  <si>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</si>
  <si>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</si>
  <si>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</si>
  <si>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</si>
  <si>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</si>
  <si>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</si>
  <si>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</si>
  <si>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</si>
  <si>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</si>
  <si>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</si>
  <si>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</si>
  <si>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</si>
  <si>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</si>
  <si>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</si>
  <si>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</si>
  <si>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</si>
  <si>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</si>
  <si>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</si>
  <si>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</si>
  <si>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</si>
  <si>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</si>
  <si>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</si>
  <si>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</si>
  <si>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</si>
  <si>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</si>
  <si>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</si>
  <si>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</si>
  <si>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</si>
  <si>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</si>
  <si>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</si>
  <si>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</si>
  <si>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</si>
  <si>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</si>
  <si>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</si>
  <si>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</si>
  <si>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</si>
  <si>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</si>
  <si>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</si>
  <si>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</si>
  <si>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</si>
  <si>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</si>
  <si>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</si>
  <si>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</si>
  <si>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</si>
  <si>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</si>
  <si>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</si>
  <si>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</si>
  <si>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</si>
  <si>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</si>
  <si>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</si>
  <si>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</si>
  <si>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</si>
  <si>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</si>
  <si>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</si>
  <si>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</si>
  <si>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</si>
  <si>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</si>
  <si>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</si>
  <si>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</si>
  <si>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</si>
  <si>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</si>
  <si>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</si>
  <si>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</si>
  <si>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</si>
  <si>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</si>
  <si>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</si>
  <si>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</si>
  <si>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</si>
  <si>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</si>
  <si>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</si>
  <si>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</si>
  <si>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</si>
  <si>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</si>
  <si>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</si>
  <si>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</si>
  <si>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</si>
  <si>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</si>
  <si>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</si>
  <si>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</si>
  <si>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</si>
  <si>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</si>
  <si>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</si>
  <si>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</si>
  <si>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</si>
  <si>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</si>
  <si>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</si>
  <si>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</si>
  <si>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</si>
  <si>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</si>
  <si>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</si>
  <si>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</si>
  <si>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</si>
  <si>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</si>
  <si>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</si>
  <si>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</si>
  <si>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</si>
  <si>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</si>
  <si>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</si>
  <si>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</si>
  <si>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</si>
  <si>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</si>
  <si>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</si>
  <si>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</si>
  <si>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</si>
  <si>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</si>
  <si>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</si>
  <si>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</si>
  <si>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</si>
  <si>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</si>
  <si>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</si>
  <si>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</si>
  <si>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</si>
  <si>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</si>
  <si>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</si>
  <si>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</si>
  <si>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</si>
  <si>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</si>
  <si>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</si>
  <si>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</si>
  <si>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</si>
  <si>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</si>
  <si>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</si>
  <si>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</si>
  <si>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</si>
  <si>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</si>
  <si>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</si>
  <si>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</si>
  <si>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</si>
  <si>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</si>
  <si>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</si>
  <si>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</si>
  <si>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</si>
  <si>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</si>
  <si>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</si>
  <si>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</si>
  <si>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</si>
  <si>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</si>
  <si>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</si>
  <si>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</si>
  <si>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</si>
  <si>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</si>
  <si>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</si>
  <si>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</si>
  <si>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</si>
  <si>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</si>
  <si>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</si>
  <si>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</si>
  <si>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</si>
  <si>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</si>
  <si>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</si>
  <si>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</si>
  <si>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</si>
  <si>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</si>
  <si>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</si>
  <si>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</si>
  <si>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</si>
  <si>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</si>
  <si>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</si>
  <si>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</si>
  <si>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</si>
  <si>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</si>
  <si>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</si>
  <si>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</si>
  <si>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</si>
  <si>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</si>
  <si>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</si>
  <si>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</si>
  <si>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</si>
  <si>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</si>
  <si>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</si>
  <si>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</si>
  <si>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</si>
  <si>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</si>
  <si>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</si>
  <si>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</si>
  <si>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</si>
  <si>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</si>
  <si>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</si>
  <si>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</si>
  <si>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</si>
  <si>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</si>
  <si>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</si>
  <si>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</si>
  <si>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</si>
  <si>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</si>
  <si>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</si>
  <si>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</si>
  <si>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</si>
  <si>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</si>
  <si>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</si>
  <si>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</si>
  <si>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</si>
  <si>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</si>
  <si>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</si>
  <si>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</si>
  <si>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</si>
  <si>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</si>
  <si>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</si>
  <si>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</si>
  <si>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</si>
  <si>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</si>
  <si>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</si>
  <si>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</si>
  <si>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</si>
  <si>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</si>
  <si>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</si>
  <si>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</si>
  <si>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</si>
  <si>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</si>
  <si>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</si>
  <si>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</si>
  <si>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</si>
  <si>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</si>
  <si>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</si>
  <si>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</si>
  <si>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</si>
  <si>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</si>
  <si>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</si>
  <si>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</si>
  <si>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</si>
  <si>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</si>
  <si>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</si>
  <si>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</si>
  <si>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</si>
  <si>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</si>
  <si>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</si>
  <si>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</si>
  <si>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</si>
  <si>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</si>
  <si>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</si>
  <si>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</si>
  <si>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</si>
  <si>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</si>
  <si>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</si>
  <si>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</si>
  <si>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</si>
  <si>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</si>
  <si>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</si>
  <si>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</si>
  <si>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</si>
  <si>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</si>
  <si>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</si>
  <si>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</si>
  <si>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</si>
  <si>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</si>
  <si>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</si>
  <si>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</si>
  <si>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</si>
  <si>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</si>
  <si>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</si>
  <si>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</si>
  <si>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</si>
  <si>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</si>
  <si>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</si>
  <si>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</si>
  <si>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</si>
  <si>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</si>
  <si>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</si>
  <si>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</si>
  <si>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</si>
  <si>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</si>
  <si>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</si>
  <si>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</si>
  <si>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</si>
  <si>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</si>
  <si>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</si>
  <si>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</si>
  <si>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</si>
  <si>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</si>
  <si>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</si>
  <si>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</si>
  <si>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</si>
  <si>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</si>
  <si>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</si>
  <si>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</si>
  <si>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</si>
  <si>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</si>
  <si>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</si>
  <si>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</si>
  <si>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</si>
  <si>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</si>
  <si>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</si>
  <si>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</si>
  <si>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</si>
  <si>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</si>
  <si>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</si>
  <si>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</si>
  <si>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</si>
  <si>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</si>
  <si>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</si>
  <si>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</si>
  <si>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</si>
  <si>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</si>
  <si>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</si>
  <si>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</si>
  <si>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</si>
  <si>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</si>
  <si>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</si>
  <si>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</si>
  <si>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</si>
  <si>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</si>
  <si>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</si>
  <si>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</si>
  <si>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</si>
  <si>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</si>
  <si>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</si>
  <si>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</si>
  <si>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</si>
  <si>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</si>
  <si>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</si>
  <si>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</si>
  <si>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</si>
  <si>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</si>
  <si>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</si>
  <si>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</si>
  <si>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</si>
  <si>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</si>
  <si>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</si>
  <si>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</si>
  <si>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</si>
  <si>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</si>
  <si>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</si>
  <si>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</si>
  <si>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</si>
  <si>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</si>
  <si>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</si>
  <si>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</si>
  <si>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</si>
  <si>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</si>
  <si>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</si>
  <si>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</si>
  <si>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</si>
  <si>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</si>
  <si>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</si>
  <si>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</si>
  <si>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</si>
  <si>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</si>
  <si>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</si>
  <si>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</si>
  <si>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</si>
  <si>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</si>
  <si>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</si>
  <si>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</si>
  <si>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</si>
  <si>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</si>
  <si>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</si>
  <si>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</si>
  <si>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</si>
  <si>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</si>
  <si>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</si>
  <si>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</si>
  <si>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</si>
  <si>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</si>
  <si>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</si>
  <si>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</si>
  <si>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</si>
  <si>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</si>
  <si>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</si>
  <si>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</si>
  <si>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</si>
  <si>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</si>
  <si>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</si>
  <si>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</si>
  <si>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</si>
  <si>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</si>
  <si>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</si>
  <si>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</si>
  <si>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</si>
  <si>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</si>
  <si>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</si>
  <si>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</si>
  <si>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</si>
  <si>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</si>
  <si>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</si>
  <si>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</si>
  <si>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</si>
  <si>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</si>
  <si>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</si>
  <si>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</si>
  <si>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</si>
  <si>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</si>
  <si>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</si>
  <si>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</si>
  <si>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</si>
  <si>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</si>
  <si>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</si>
  <si>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</si>
  <si>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</si>
  <si>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</si>
  <si>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</si>
  <si>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</si>
  <si>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</si>
  <si>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</si>
  <si>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</si>
  <si>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</si>
  <si>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</si>
  <si>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</si>
  <si>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</si>
  <si>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</si>
  <si>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</si>
  <si>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</si>
  <si>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</si>
  <si>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</si>
  <si>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</si>
  <si>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</si>
  <si>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</si>
  <si>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</si>
  <si>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</si>
  <si>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</si>
  <si>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</si>
  <si>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</si>
  <si>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</si>
  <si>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</si>
  <si>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</si>
  <si>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</si>
  <si>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</si>
  <si>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</si>
  <si>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</si>
  <si>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</si>
  <si>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</si>
  <si>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</si>
  <si>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</si>
  <si>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</si>
  <si>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</si>
  <si>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</si>
  <si>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</si>
  <si>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</si>
  <si>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</si>
  <si>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</si>
  <si>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</si>
  <si>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</si>
  <si>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</si>
  <si>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</si>
  <si>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</si>
  <si>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</si>
  <si>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</si>
  <si>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</si>
  <si>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</si>
  <si>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</si>
  <si>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</si>
  <si>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</si>
  <si>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</si>
  <si>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</si>
  <si>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</si>
  <si>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</si>
  <si>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</si>
  <si>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</si>
  <si>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</si>
  <si>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</si>
  <si>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</si>
  <si>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</si>
  <si>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</si>
  <si>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</si>
  <si>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</si>
  <si>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</si>
  <si>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</si>
  <si>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</si>
  <si>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</si>
  <si>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</si>
  <si>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</si>
  <si>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</si>
  <si>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</si>
  <si>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</si>
  <si>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</si>
  <si>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</si>
  <si>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</si>
  <si>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</si>
  <si>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</si>
  <si>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</si>
  <si>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</si>
  <si>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</si>
  <si>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</si>
  <si>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</si>
  <si>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</si>
  <si>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</si>
  <si>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</si>
  <si>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</si>
  <si>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</si>
  <si>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</si>
  <si>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</si>
  <si>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</si>
  <si>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</si>
  <si>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</si>
  <si>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</si>
  <si>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</si>
  <si>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</si>
  <si>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</si>
  <si>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</si>
  <si>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</si>
  <si>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</si>
  <si>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</si>
  <si>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</si>
  <si>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</si>
  <si>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</si>
  <si>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</si>
  <si>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</si>
  <si>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</si>
  <si>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</si>
  <si>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</si>
  <si>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</si>
  <si>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</si>
  <si>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</si>
  <si>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</si>
  <si>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</si>
  <si>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</si>
  <si>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</si>
  <si>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</si>
  <si>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</si>
  <si>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</si>
  <si>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</si>
  <si>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</si>
  <si>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</si>
  <si>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</si>
  <si>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</si>
  <si>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</si>
  <si>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</si>
  <si>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</si>
  <si>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</si>
  <si>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</si>
  <si>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</si>
  <si>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</si>
  <si>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</si>
  <si>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</si>
  <si>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</si>
  <si>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</si>
  <si>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</si>
  <si>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</si>
  <si>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</si>
  <si>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</si>
  <si>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</si>
  <si>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</si>
  <si>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</si>
  <si>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</si>
  <si>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</si>
  <si>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</si>
  <si>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</si>
  <si>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</si>
  <si>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</si>
  <si>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</si>
  <si>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</si>
  <si>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</si>
  <si>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</si>
  <si>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</si>
  <si>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</si>
  <si>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</si>
  <si>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</si>
  <si>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</si>
  <si>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</si>
  <si>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</si>
  <si>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</si>
  <si>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</si>
  <si>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</si>
  <si>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</si>
  <si>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</si>
  <si>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</si>
  <si>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</si>
  <si>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</si>
  <si>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</si>
  <si>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</si>
  <si>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</si>
  <si>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</si>
  <si>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</si>
  <si>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</si>
  <si>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</si>
  <si>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</si>
  <si>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</si>
  <si>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</si>
  <si>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</si>
  <si>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</si>
  <si>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</si>
  <si>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</si>
  <si>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</si>
  <si>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</si>
  <si>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</si>
  <si>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</si>
  <si>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</si>
  <si>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</si>
  <si>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</si>
  <si>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</si>
  <si>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</si>
  <si>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</si>
  <si>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</si>
  <si>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</si>
  <si>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</si>
  <si>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</si>
  <si>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</si>
  <si>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</si>
  <si>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</si>
  <si>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</si>
  <si>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</si>
  <si>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</si>
  <si>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</si>
  <si>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</si>
  <si>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</si>
  <si>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</si>
  <si>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</si>
  <si>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</si>
  <si>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</si>
  <si>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</si>
  <si>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</si>
  <si>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</si>
  <si>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</si>
  <si>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</si>
  <si>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</si>
  <si>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</si>
  <si>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</si>
  <si>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</si>
  <si>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</si>
  <si>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</si>
  <si>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</si>
  <si>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</si>
  <si>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</si>
  <si>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</si>
  <si>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</si>
  <si>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</si>
  <si>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</si>
  <si>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</si>
  <si>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</si>
  <si>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</si>
  <si>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</si>
  <si>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</si>
  <si>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</si>
  <si>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</si>
  <si>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</si>
  <si>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</si>
  <si>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</si>
  <si>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</si>
  <si>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</si>
  <si>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</si>
  <si>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</si>
  <si>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</si>
  <si>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</si>
  <si>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</si>
  <si>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</si>
  <si>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</si>
  <si>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</si>
  <si>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</si>
  <si>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</si>
  <si>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</si>
  <si>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</si>
  <si>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</si>
  <si>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</si>
  <si>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</si>
  <si>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</si>
  <si>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</si>
  <si>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</si>
  <si>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</si>
  <si>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</si>
  <si>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</si>
  <si>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</si>
  <si>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</si>
  <si>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</si>
  <si>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</si>
  <si>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</si>
  <si>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</si>
  <si>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</si>
  <si>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</si>
  <si>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</si>
  <si>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</si>
  <si>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</si>
  <si>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</si>
  <si>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</si>
  <si>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</si>
  <si>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</si>
  <si>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</si>
  <si>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</si>
  <si>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</si>
  <si>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</si>
  <si>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</si>
  <si>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</si>
  <si>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</si>
  <si>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</si>
  <si>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</si>
  <si>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</si>
  <si>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</si>
  <si>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</si>
  <si>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</si>
  <si>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</si>
  <si>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</si>
  <si>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</si>
  <si>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</si>
  <si>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</si>
  <si>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</si>
  <si>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</si>
  <si>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</si>
  <si>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</si>
  <si>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</si>
  <si>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</si>
  <si>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</si>
  <si>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</si>
  <si>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</si>
  <si>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</si>
  <si>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</si>
  <si>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</si>
  <si>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</si>
  <si>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</si>
  <si>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</si>
  <si>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</si>
  <si>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</si>
  <si>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</si>
  <si>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</si>
  <si>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</si>
  <si>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</si>
  <si>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</si>
  <si>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</si>
  <si>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</si>
  <si>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</si>
  <si>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</si>
  <si>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</si>
  <si>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</si>
  <si>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</si>
  <si>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</si>
  <si>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</si>
  <si>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</si>
  <si>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</si>
  <si>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</si>
  <si>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</si>
  <si>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</si>
  <si>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</si>
  <si>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</si>
  <si>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</si>
  <si>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</si>
  <si>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</si>
  <si>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</si>
  <si>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</si>
  <si>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</si>
  <si>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</si>
  <si>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</si>
  <si>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</si>
  <si>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</si>
  <si>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</si>
  <si>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</si>
  <si>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</si>
  <si>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</si>
  <si>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</si>
  <si>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</si>
  <si>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</si>
  <si>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</si>
  <si>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</si>
  <si>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</si>
  <si>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</si>
  <si>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</si>
  <si>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</si>
  <si>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</si>
  <si>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</si>
  <si>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</si>
  <si>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</si>
  <si>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</si>
  <si>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</si>
  <si>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</si>
  <si>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</si>
  <si>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</si>
  <si>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</si>
  <si>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</si>
  <si>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</si>
  <si>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</si>
  <si>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</si>
  <si>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</si>
  <si>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</si>
  <si>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</si>
  <si>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</si>
  <si>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</si>
  <si>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</si>
  <si>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</si>
  <si>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</si>
  <si>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</si>
  <si>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</si>
  <si>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</si>
  <si>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</si>
  <si>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</si>
  <si>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</si>
  <si>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</si>
  <si>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</si>
  <si>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</si>
  <si>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</si>
  <si>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</si>
  <si>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</si>
  <si>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</si>
  <si>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</si>
  <si>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</si>
  <si>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</si>
  <si>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</si>
  <si>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</si>
  <si>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</si>
  <si>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</si>
  <si>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</si>
  <si>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</si>
  <si>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</si>
  <si>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</si>
  <si>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</si>
  <si>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</si>
  <si>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</si>
  <si>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</si>
  <si>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</si>
  <si>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</si>
  <si>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</si>
  <si>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</si>
  <si>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</si>
  <si>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</si>
  <si>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</si>
  <si>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</si>
  <si>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</si>
  <si>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</si>
  <si>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</si>
  <si>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</si>
  <si>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</si>
  <si>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</si>
  <si>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</si>
  <si>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</si>
  <si>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</si>
  <si>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</si>
  <si>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</si>
  <si>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</si>
  <si>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</si>
  <si>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</si>
  <si>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</si>
  <si>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</si>
  <si>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</si>
  <si>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</si>
  <si>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</si>
  <si>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</si>
  <si>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</si>
  <si>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</si>
  <si>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</si>
  <si>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</si>
  <si>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</si>
  <si>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</si>
  <si>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</si>
  <si>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</si>
  <si>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</si>
  <si>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</si>
  <si>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</si>
  <si>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</si>
  <si>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</si>
  <si>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</si>
  <si>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</si>
  <si>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</si>
  <si>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</si>
  <si>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</si>
  <si>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</si>
  <si>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</si>
  <si>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</si>
  <si>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</si>
  <si>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</si>
  <si>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</si>
  <si>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</si>
  <si>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</si>
  <si>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</si>
  <si>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</si>
  <si>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</si>
  <si>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</si>
  <si>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</si>
  <si>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</si>
  <si>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</si>
  <si>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</si>
  <si>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</si>
  <si>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</si>
  <si>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</si>
  <si>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</si>
  <si>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</si>
  <si>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</si>
  <si>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</si>
  <si>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</si>
  <si>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</si>
  <si>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</si>
  <si>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</si>
  <si>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</si>
  <si>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</si>
  <si>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</si>
  <si>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</si>
  <si>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</si>
  <si>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</si>
  <si>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</si>
  <si>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</si>
  <si>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</si>
  <si>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</si>
  <si>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</si>
  <si>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</si>
  <si>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</si>
  <si>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</si>
  <si>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</si>
  <si>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</si>
  <si>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</si>
  <si>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</si>
  <si>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</si>
  <si>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</si>
  <si>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</si>
  <si>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</si>
  <si>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</si>
  <si>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</si>
  <si>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</si>
  <si>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</si>
  <si>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</si>
  <si>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</si>
  <si>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</si>
  <si>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</si>
  <si>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</si>
  <si>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</si>
  <si>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</si>
  <si>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</si>
  <si>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</si>
  <si>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</si>
  <si>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</si>
  <si>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</si>
  <si>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</si>
  <si>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</si>
  <si>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</si>
  <si>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</si>
  <si>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</si>
  <si>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</si>
  <si>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</si>
  <si>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</si>
  <si>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</si>
  <si>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</si>
  <si>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</si>
  <si>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</si>
  <si>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</si>
  <si>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</si>
  <si>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</si>
  <si>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</si>
  <si>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</si>
  <si>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</si>
  <si>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</si>
  <si>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</si>
  <si>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</si>
  <si>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</si>
  <si>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</si>
  <si>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</si>
  <si>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</si>
  <si>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</si>
  <si>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</si>
  <si>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</si>
  <si>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</si>
  <si>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</si>
  <si>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</si>
  <si>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</si>
  <si>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</si>
  <si>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</si>
  <si>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</si>
  <si>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</si>
  <si>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</si>
  <si>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</si>
  <si>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</si>
  <si>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</si>
  <si>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</si>
  <si>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</si>
  <si>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</si>
  <si>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</si>
  <si>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</si>
  <si>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</si>
  <si>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</si>
  <si>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</si>
  <si>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</si>
  <si>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</si>
  <si>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</si>
  <si>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</si>
  <si>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</si>
  <si>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</si>
  <si>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</si>
  <si>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</si>
  <si>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بدهی به حسین 21/6/1400</t>
  </si>
  <si>
    <t>23/6/1400</t>
  </si>
  <si>
    <t>وغدیر 41361 تا 1496</t>
  </si>
  <si>
    <t>ومهان 93469 تا 1555</t>
  </si>
  <si>
    <t>27/6/1400</t>
  </si>
  <si>
    <t>وغدیر 1558 تا 1461</t>
  </si>
  <si>
    <t>بدهی به داریوش 28/6/1400</t>
  </si>
  <si>
    <t>30/6/1400</t>
  </si>
  <si>
    <t>طلب علی 1 عدد سکه و 8479 تا وغدیر</t>
  </si>
  <si>
    <t>سکه 1 تا 11390000</t>
  </si>
  <si>
    <t>وغدیر 10526 تا 1370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</si>
</sst>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6738</v>
      </c>
      <c r="C1" s="40" t="s">
        <v>1329</v>
      </c>
      <c r="D1" s="40" t="s">
        <v>1330</v>
      </c>
      <c r="E1" s="40" t="s">
        <v>6737</v>
      </c>
      <c r="F1" s="40" t="s">
        <v>6736</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6739</v>
      </c>
      <c r="I4" s="40" t="s">
        <v>6734</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6704</v>
      </c>
      <c r="I5" s="40" t="s">
        <v>6734</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6705</v>
      </c>
      <c r="I6" s="40" t="s">
        <v>6734</v>
      </c>
      <c r="L6" s="40" t="str">
        <f t="shared" si="0"/>
        <v>USD,20210904,272810,274110,270050,270310,1,1,1</v>
      </c>
    </row>
    <row r="7" spans="1:15">
      <c r="A7" s="414">
        <v>270860</v>
      </c>
      <c r="B7" s="414">
        <v>270850</v>
      </c>
      <c r="C7" s="414">
        <v>272910</v>
      </c>
      <c r="D7" s="414">
        <v>272910</v>
      </c>
      <c r="E7" s="40">
        <v>2560</v>
      </c>
      <c r="F7" s="415">
        <v>9.4999999999999998E-3</v>
      </c>
      <c r="G7" s="416">
        <v>44441</v>
      </c>
      <c r="H7" s="40" t="s">
        <v>6706</v>
      </c>
      <c r="I7" s="40" t="s">
        <v>6734</v>
      </c>
      <c r="L7" s="40" t="str">
        <f t="shared" si="0"/>
        <v>USD,20210902,270860,272910,270850,272910,1,1,1</v>
      </c>
    </row>
    <row r="8" spans="1:15">
      <c r="A8" s="414">
        <v>273310</v>
      </c>
      <c r="B8" s="414">
        <v>270050</v>
      </c>
      <c r="C8" s="414">
        <v>273410</v>
      </c>
      <c r="D8" s="414">
        <v>270350</v>
      </c>
      <c r="E8" s="40">
        <v>3870</v>
      </c>
      <c r="F8" s="415">
        <v>1.43E-2</v>
      </c>
      <c r="G8" s="416">
        <v>44440</v>
      </c>
      <c r="H8" s="40" t="s">
        <v>6707</v>
      </c>
      <c r="I8" s="40" t="s">
        <v>6734</v>
      </c>
      <c r="L8" s="40" t="str">
        <f t="shared" si="0"/>
        <v>USD,20210901,273310,273410,270050,270350,1,1,1</v>
      </c>
    </row>
    <row r="9" spans="1:15">
      <c r="A9" s="414">
        <v>273870</v>
      </c>
      <c r="B9" s="414">
        <v>272250</v>
      </c>
      <c r="C9" s="414">
        <v>274310</v>
      </c>
      <c r="D9" s="414">
        <v>274220</v>
      </c>
      <c r="E9" s="40">
        <v>3580</v>
      </c>
      <c r="F9" s="415">
        <v>1.32E-2</v>
      </c>
      <c r="G9" s="416">
        <v>44439</v>
      </c>
      <c r="H9" s="40" t="s">
        <v>6708</v>
      </c>
      <c r="I9" s="40" t="s">
        <v>6734</v>
      </c>
      <c r="L9" s="40" t="str">
        <f t="shared" si="0"/>
        <v>USD,20210831,273870,274310,272250,274220,1,1,1</v>
      </c>
    </row>
    <row r="10" spans="1:15">
      <c r="A10" s="414">
        <v>273850</v>
      </c>
      <c r="B10" s="414">
        <v>269350</v>
      </c>
      <c r="C10" s="414">
        <v>274010</v>
      </c>
      <c r="D10" s="414">
        <v>270640</v>
      </c>
      <c r="E10" s="40">
        <v>5440</v>
      </c>
      <c r="F10" s="415">
        <v>2.01E-2</v>
      </c>
      <c r="G10" s="416">
        <v>44438</v>
      </c>
      <c r="H10" s="40" t="s">
        <v>6709</v>
      </c>
      <c r="I10" s="40" t="s">
        <v>6734</v>
      </c>
      <c r="L10" s="40" t="str">
        <f t="shared" si="0"/>
        <v>USD,20210830,273850,274010,269350,270640,1,1,1</v>
      </c>
      <c r="O10" t="s">
        <v>6735</v>
      </c>
    </row>
    <row r="11" spans="1:15">
      <c r="A11" s="414">
        <v>281890</v>
      </c>
      <c r="B11" s="414">
        <v>275490</v>
      </c>
      <c r="C11" s="414">
        <v>282040</v>
      </c>
      <c r="D11" s="414">
        <v>276080</v>
      </c>
      <c r="E11" s="40">
        <v>5930</v>
      </c>
      <c r="F11" s="415">
        <v>2.1499999999999998E-2</v>
      </c>
      <c r="G11" s="416">
        <v>44437</v>
      </c>
      <c r="H11" s="40" t="s">
        <v>6710</v>
      </c>
      <c r="I11" s="40" t="s">
        <v>6734</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6711</v>
      </c>
      <c r="I12" s="40" t="s">
        <v>6734</v>
      </c>
      <c r="L12" s="40" t="str">
        <f t="shared" si="0"/>
        <v>USD,20210828,282460,283740,281190,282010,1,1,1</v>
      </c>
    </row>
    <row r="13" spans="1:15">
      <c r="A13" s="414">
        <v>279490</v>
      </c>
      <c r="B13" s="414">
        <v>277890</v>
      </c>
      <c r="C13" s="414">
        <v>280240</v>
      </c>
      <c r="D13" s="414">
        <v>278990</v>
      </c>
      <c r="E13" s="40">
        <v>500</v>
      </c>
      <c r="F13" s="415">
        <v>1.8E-3</v>
      </c>
      <c r="G13" s="416">
        <v>44434</v>
      </c>
      <c r="H13" s="40" t="s">
        <v>6712</v>
      </c>
      <c r="I13" s="40" t="s">
        <v>6734</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6713</v>
      </c>
      <c r="I14" s="40" t="s">
        <v>6734</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6714</v>
      </c>
      <c r="I15" s="40" t="s">
        <v>6734</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6715</v>
      </c>
      <c r="I16" s="40" t="s">
        <v>6734</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6716</v>
      </c>
      <c r="I17" s="40" t="s">
        <v>6734</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6717</v>
      </c>
      <c r="I18" s="40" t="s">
        <v>6734</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6718</v>
      </c>
      <c r="I19" s="40" t="s">
        <v>6734</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6719</v>
      </c>
      <c r="I20" s="40" t="s">
        <v>6734</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6720</v>
      </c>
      <c r="I21" s="40" t="s">
        <v>6734</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6721</v>
      </c>
      <c r="I22" s="40" t="s">
        <v>6734</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6722</v>
      </c>
      <c r="I23" s="40" t="s">
        <v>6734</v>
      </c>
      <c r="L23" s="40" t="str">
        <f t="shared" si="0"/>
        <v>USD,20210812,265890,266840,262890,264290,1,1,1</v>
      </c>
    </row>
    <row r="24" spans="1:12">
      <c r="A24" s="414">
        <v>264690</v>
      </c>
      <c r="B24" s="414">
        <v>263790</v>
      </c>
      <c r="C24" s="414">
        <v>267640</v>
      </c>
      <c r="D24" s="414">
        <v>266090</v>
      </c>
      <c r="E24" s="40">
        <v>2750</v>
      </c>
      <c r="F24" s="415">
        <v>1.04E-2</v>
      </c>
      <c r="G24" s="416">
        <v>44419</v>
      </c>
      <c r="H24" s="40" t="s">
        <v>6723</v>
      </c>
      <c r="I24" s="40" t="s">
        <v>6734</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6724</v>
      </c>
      <c r="I25" s="40" t="s">
        <v>6734</v>
      </c>
      <c r="L25" s="40" t="str">
        <f t="shared" si="0"/>
        <v>USD,20210810,258990,263940,258990,263340,1,1,1</v>
      </c>
    </row>
    <row r="26" spans="1:12">
      <c r="A26" s="414">
        <v>256340</v>
      </c>
      <c r="B26" s="414">
        <v>256190</v>
      </c>
      <c r="C26" s="414">
        <v>259940</v>
      </c>
      <c r="D26" s="414">
        <v>259090</v>
      </c>
      <c r="E26" s="40">
        <v>2200</v>
      </c>
      <c r="F26" s="415">
        <v>8.6E-3</v>
      </c>
      <c r="G26" s="416">
        <v>44417</v>
      </c>
      <c r="H26" s="40" t="s">
        <v>6725</v>
      </c>
      <c r="I26" s="40" t="s">
        <v>6734</v>
      </c>
      <c r="L26" s="40" t="str">
        <f t="shared" si="0"/>
        <v>USD,20210809,256340,259940,256190,259090,1,1,1</v>
      </c>
    </row>
    <row r="27" spans="1:12">
      <c r="A27" s="414">
        <v>256290</v>
      </c>
      <c r="B27" s="414">
        <v>252390</v>
      </c>
      <c r="C27" s="414">
        <v>257440</v>
      </c>
      <c r="D27" s="414">
        <v>256890</v>
      </c>
      <c r="E27" s="40">
        <v>510</v>
      </c>
      <c r="F27" s="415">
        <v>2E-3</v>
      </c>
      <c r="G27" s="416">
        <v>44416</v>
      </c>
      <c r="H27" s="40" t="s">
        <v>6726</v>
      </c>
      <c r="I27" s="40" t="s">
        <v>6734</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6727</v>
      </c>
      <c r="I28" s="40" t="s">
        <v>6734</v>
      </c>
      <c r="L28" s="40" t="str">
        <f t="shared" si="0"/>
        <v>USD,20210807,254190,257140,253990,256380,1,1,1</v>
      </c>
    </row>
    <row r="29" spans="1:12">
      <c r="A29" s="414">
        <v>256490</v>
      </c>
      <c r="B29" s="414">
        <v>255790</v>
      </c>
      <c r="C29" s="414">
        <v>256740</v>
      </c>
      <c r="D29" s="414">
        <v>256190</v>
      </c>
      <c r="E29" s="40" t="s">
        <v>6728</v>
      </c>
      <c r="F29" s="40" t="s">
        <v>6728</v>
      </c>
      <c r="G29" s="416">
        <v>44413</v>
      </c>
      <c r="H29" s="40" t="s">
        <v>6729</v>
      </c>
      <c r="I29" s="40" t="s">
        <v>6734</v>
      </c>
      <c r="L29" s="40" t="str">
        <f t="shared" si="0"/>
        <v>USD,20210805,256490,256740,255790,256190,1,1,1</v>
      </c>
    </row>
    <row r="30" spans="1:12">
      <c r="A30" s="414">
        <v>257250</v>
      </c>
      <c r="B30" s="414">
        <v>254690</v>
      </c>
      <c r="C30" s="414">
        <v>257340</v>
      </c>
      <c r="D30" s="414">
        <v>256190</v>
      </c>
      <c r="E30" s="40">
        <v>1100</v>
      </c>
      <c r="F30" s="415">
        <v>4.3E-3</v>
      </c>
      <c r="G30" s="416">
        <v>44412</v>
      </c>
      <c r="H30" s="40" t="s">
        <v>6730</v>
      </c>
      <c r="I30" s="40" t="s">
        <v>6734</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6731</v>
      </c>
      <c r="I31" s="40" t="s">
        <v>6734</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6732</v>
      </c>
      <c r="I32" s="40" t="s">
        <v>6734</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6733</v>
      </c>
      <c r="I33" s="40" t="s">
        <v>6734</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6740</v>
      </c>
      <c r="I34" s="40" t="s">
        <v>6734</v>
      </c>
      <c r="L34" s="40" t="str">
        <f t="shared" si="0"/>
        <v>USD,20210731,260270,260640,256990,257290,1,1,1</v>
      </c>
    </row>
    <row r="35" spans="1:12">
      <c r="A35" s="270">
        <v>251800</v>
      </c>
      <c r="B35" s="270">
        <v>251690</v>
      </c>
      <c r="C35" s="270">
        <v>256240</v>
      </c>
      <c r="D35" s="270">
        <v>255990</v>
      </c>
      <c r="E35">
        <v>4330</v>
      </c>
      <c r="F35" s="137">
        <v>1.72E-2</v>
      </c>
      <c r="G35" s="203">
        <v>44405</v>
      </c>
      <c r="H35" t="s">
        <v>6741</v>
      </c>
      <c r="I35" s="40" t="s">
        <v>6734</v>
      </c>
      <c r="L35" s="40" t="str">
        <f t="shared" si="0"/>
        <v>USD,20210728,251800,256240,251690,255990,1,1,1</v>
      </c>
    </row>
    <row r="36" spans="1:12">
      <c r="A36" s="270">
        <v>250780</v>
      </c>
      <c r="B36" s="270">
        <v>250690</v>
      </c>
      <c r="C36" s="270">
        <v>252340</v>
      </c>
      <c r="D36" s="270">
        <v>251660</v>
      </c>
      <c r="E36">
        <v>1170</v>
      </c>
      <c r="F36" s="137">
        <v>4.7000000000000002E-3</v>
      </c>
      <c r="G36" s="203">
        <v>44404</v>
      </c>
      <c r="H36" t="s">
        <v>6742</v>
      </c>
      <c r="I36" s="40" t="s">
        <v>6734</v>
      </c>
      <c r="L36" s="40" t="str">
        <f t="shared" si="0"/>
        <v>USD,20210727,250780,252340,250690,251660,1,1,1</v>
      </c>
    </row>
    <row r="37" spans="1:12">
      <c r="A37" s="270">
        <v>248130</v>
      </c>
      <c r="B37" s="270">
        <v>247890</v>
      </c>
      <c r="C37" s="270">
        <v>251040</v>
      </c>
      <c r="D37" s="270">
        <v>250490</v>
      </c>
      <c r="E37">
        <v>2700</v>
      </c>
      <c r="F37" s="137">
        <v>1.09E-2</v>
      </c>
      <c r="G37" s="203">
        <v>44403</v>
      </c>
      <c r="H37" t="s">
        <v>6743</v>
      </c>
      <c r="I37" s="40" t="s">
        <v>6734</v>
      </c>
      <c r="L37" s="40" t="str">
        <f t="shared" si="0"/>
        <v>USD,20210726,248130,251040,247890,250490,1,1,1</v>
      </c>
    </row>
    <row r="38" spans="1:12">
      <c r="A38" s="270">
        <v>247490</v>
      </c>
      <c r="B38" s="270">
        <v>247490</v>
      </c>
      <c r="C38" s="270">
        <v>249630</v>
      </c>
      <c r="D38" s="270">
        <v>247790</v>
      </c>
      <c r="E38">
        <v>700</v>
      </c>
      <c r="F38" s="137">
        <v>2.8E-3</v>
      </c>
      <c r="G38" s="203">
        <v>44402</v>
      </c>
      <c r="H38" t="s">
        <v>6744</v>
      </c>
      <c r="I38" s="40" t="s">
        <v>6734</v>
      </c>
      <c r="L38" s="40" t="str">
        <f t="shared" si="0"/>
        <v>USD,20210725,247490,249630,247490,247790,1,1,1</v>
      </c>
    </row>
    <row r="39" spans="1:12">
      <c r="A39" s="270">
        <v>246190</v>
      </c>
      <c r="B39" s="270">
        <v>246190</v>
      </c>
      <c r="C39" s="270">
        <v>247340</v>
      </c>
      <c r="D39" s="270">
        <v>247090</v>
      </c>
      <c r="E39">
        <v>810</v>
      </c>
      <c r="F39" s="137">
        <v>3.3E-3</v>
      </c>
      <c r="G39" s="203">
        <v>44401</v>
      </c>
      <c r="H39" t="s">
        <v>6745</v>
      </c>
      <c r="I39" s="40" t="s">
        <v>6734</v>
      </c>
      <c r="L39" s="40" t="str">
        <f t="shared" si="0"/>
        <v>USD,20210724,246190,247340,246190,247090,1,1,1</v>
      </c>
    </row>
    <row r="40" spans="1:12">
      <c r="A40" s="270">
        <v>246240</v>
      </c>
      <c r="B40" s="270">
        <v>246190</v>
      </c>
      <c r="C40" s="270">
        <v>246340</v>
      </c>
      <c r="D40" s="270">
        <v>246280</v>
      </c>
      <c r="E40">
        <v>1090</v>
      </c>
      <c r="F40" s="137">
        <v>4.4000000000000003E-3</v>
      </c>
      <c r="G40" s="203">
        <v>44399</v>
      </c>
      <c r="H40" t="s">
        <v>6746</v>
      </c>
      <c r="I40" s="40" t="s">
        <v>6734</v>
      </c>
      <c r="L40" s="40" t="str">
        <f t="shared" si="0"/>
        <v>USD,20210722,246240,246340,246190,246280,1,1,1</v>
      </c>
    </row>
    <row r="41" spans="1:12">
      <c r="A41" s="270">
        <v>244820</v>
      </c>
      <c r="B41" s="270">
        <v>244790</v>
      </c>
      <c r="C41" s="270">
        <v>245440</v>
      </c>
      <c r="D41" s="270">
        <v>245190</v>
      </c>
      <c r="E41">
        <v>550</v>
      </c>
      <c r="F41" s="137">
        <v>2.2000000000000001E-3</v>
      </c>
      <c r="G41" s="203">
        <v>44397</v>
      </c>
      <c r="H41" t="s">
        <v>6747</v>
      </c>
      <c r="I41" s="40" t="s">
        <v>6734</v>
      </c>
      <c r="L41" s="40" t="str">
        <f t="shared" si="0"/>
        <v>USD,20210720,244820,245440,244790,245190,1,1,1</v>
      </c>
    </row>
    <row r="42" spans="1:12">
      <c r="A42" s="270">
        <v>245600</v>
      </c>
      <c r="B42" s="270">
        <v>244090</v>
      </c>
      <c r="C42" s="270">
        <v>245640</v>
      </c>
      <c r="D42" s="270">
        <v>244640</v>
      </c>
      <c r="E42">
        <v>650</v>
      </c>
      <c r="F42" s="137">
        <v>2.7000000000000001E-3</v>
      </c>
      <c r="G42" s="203">
        <v>44396</v>
      </c>
      <c r="H42" t="s">
        <v>6748</v>
      </c>
      <c r="I42" s="40" t="s">
        <v>6734</v>
      </c>
      <c r="L42" s="40" t="str">
        <f t="shared" si="0"/>
        <v>USD,20210719,245600,245640,244090,244640,1,1,1</v>
      </c>
    </row>
    <row r="43" spans="1:12">
      <c r="A43" s="270">
        <v>246890</v>
      </c>
      <c r="B43" s="270">
        <v>245190</v>
      </c>
      <c r="C43" s="270">
        <v>247640</v>
      </c>
      <c r="D43" s="270">
        <v>245290</v>
      </c>
      <c r="E43">
        <v>2000</v>
      </c>
      <c r="F43" s="137">
        <v>8.2000000000000007E-3</v>
      </c>
      <c r="G43" s="203">
        <v>44395</v>
      </c>
      <c r="H43" t="s">
        <v>6749</v>
      </c>
      <c r="I43" s="40" t="s">
        <v>6734</v>
      </c>
      <c r="L43" s="40" t="str">
        <f t="shared" si="0"/>
        <v>USD,20210718,246890,247640,245190,245290,1,1,1</v>
      </c>
    </row>
    <row r="44" spans="1:12">
      <c r="A44" s="270">
        <v>247610</v>
      </c>
      <c r="B44" s="270">
        <v>247190</v>
      </c>
      <c r="C44" s="270">
        <v>248340</v>
      </c>
      <c r="D44" s="270">
        <v>247290</v>
      </c>
      <c r="E44">
        <v>300</v>
      </c>
      <c r="F44" s="137">
        <v>1.1999999999999999E-3</v>
      </c>
      <c r="G44" s="203">
        <v>44394</v>
      </c>
      <c r="H44" t="s">
        <v>6750</v>
      </c>
      <c r="I44" s="40" t="s">
        <v>6734</v>
      </c>
      <c r="L44" s="40" t="str">
        <f t="shared" si="0"/>
        <v>USD,20210717,247610,248340,247190,247290,1,1,1</v>
      </c>
    </row>
    <row r="45" spans="1:12">
      <c r="A45" s="270">
        <v>246190</v>
      </c>
      <c r="B45" s="270">
        <v>246190</v>
      </c>
      <c r="C45" s="270">
        <v>247940</v>
      </c>
      <c r="D45" s="270">
        <v>246990</v>
      </c>
      <c r="E45">
        <v>950</v>
      </c>
      <c r="F45" s="137">
        <v>3.8999999999999998E-3</v>
      </c>
      <c r="G45" s="203">
        <v>44392</v>
      </c>
      <c r="H45" t="s">
        <v>6751</v>
      </c>
      <c r="I45" s="40" t="s">
        <v>6734</v>
      </c>
      <c r="L45" s="40" t="str">
        <f t="shared" si="0"/>
        <v>USD,20210715,246190,247940,246190,246990,1,1,1</v>
      </c>
    </row>
    <row r="46" spans="1:12">
      <c r="A46" s="270">
        <v>247610</v>
      </c>
      <c r="B46" s="270">
        <v>244990</v>
      </c>
      <c r="C46" s="270">
        <v>247640</v>
      </c>
      <c r="D46" s="270">
        <v>246040</v>
      </c>
      <c r="E46">
        <v>1550</v>
      </c>
      <c r="F46" s="137">
        <v>6.3E-3</v>
      </c>
      <c r="G46" s="203">
        <v>44391</v>
      </c>
      <c r="H46" t="s">
        <v>6752</v>
      </c>
      <c r="I46" s="40" t="s">
        <v>6734</v>
      </c>
      <c r="L46" s="40" t="str">
        <f t="shared" si="0"/>
        <v>USD,20210714,247610,247640,244990,246040,1,1,1</v>
      </c>
    </row>
    <row r="47" spans="1:12">
      <c r="A47" s="270">
        <v>249740</v>
      </c>
      <c r="B47" s="270">
        <v>247090</v>
      </c>
      <c r="C47" s="270">
        <v>249740</v>
      </c>
      <c r="D47" s="270">
        <v>247590</v>
      </c>
      <c r="E47">
        <v>2100</v>
      </c>
      <c r="F47" s="137">
        <v>8.5000000000000006E-3</v>
      </c>
      <c r="G47" s="203">
        <v>44390</v>
      </c>
      <c r="H47" t="s">
        <v>6753</v>
      </c>
      <c r="I47" s="40" t="s">
        <v>6734</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6734</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6734</v>
      </c>
      <c r="L49" s="40" t="str">
        <f t="shared" si="0"/>
        <v>USD,20210711,249210,250140,248790,249990,1,1,1</v>
      </c>
    </row>
    <row r="50" spans="1:12">
      <c r="A50" s="270">
        <v>250340</v>
      </c>
      <c r="B50" s="270">
        <v>248190</v>
      </c>
      <c r="C50" s="270">
        <v>250340</v>
      </c>
      <c r="D50" s="270">
        <v>249490</v>
      </c>
      <c r="E50">
        <v>700</v>
      </c>
      <c r="F50" s="137">
        <v>2.8E-3</v>
      </c>
      <c r="G50" s="203">
        <v>44387</v>
      </c>
      <c r="H50" t="s">
        <v>6754</v>
      </c>
      <c r="I50" s="40" t="s">
        <v>6734</v>
      </c>
      <c r="L50" s="40" t="str">
        <f t="shared" si="0"/>
        <v>USD,20210710,250340,250340,248190,249490,1,1,1</v>
      </c>
    </row>
    <row r="51" spans="1:12">
      <c r="A51" s="270">
        <v>251070</v>
      </c>
      <c r="B51" s="270">
        <v>249490</v>
      </c>
      <c r="C51" s="270">
        <v>251140</v>
      </c>
      <c r="D51" s="270">
        <v>250190</v>
      </c>
      <c r="E51">
        <v>670</v>
      </c>
      <c r="F51" s="137">
        <v>2.7000000000000001E-3</v>
      </c>
      <c r="G51" s="203">
        <v>44385</v>
      </c>
      <c r="H51" t="s">
        <v>6755</v>
      </c>
      <c r="I51" s="40" t="s">
        <v>6734</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6734</v>
      </c>
      <c r="L52" s="40" t="str">
        <f t="shared" si="0"/>
        <v>USD,20210707,250490,251340,250010,250860,1,1,1</v>
      </c>
    </row>
    <row r="53" spans="1:12">
      <c r="A53" s="270">
        <v>250990</v>
      </c>
      <c r="B53" s="270">
        <v>250590</v>
      </c>
      <c r="C53" s="270">
        <v>251640</v>
      </c>
      <c r="D53" s="270">
        <v>251090</v>
      </c>
      <c r="E53">
        <v>1370</v>
      </c>
      <c r="F53" s="137">
        <v>5.4999999999999997E-3</v>
      </c>
      <c r="G53" s="203">
        <v>44383</v>
      </c>
      <c r="H53" t="s">
        <v>6756</v>
      </c>
      <c r="I53" s="40" t="s">
        <v>6734</v>
      </c>
      <c r="L53" s="40" t="str">
        <f t="shared" si="0"/>
        <v>USD,20210706,250990,251640,250590,251090,1,1,1</v>
      </c>
    </row>
    <row r="54" spans="1:12">
      <c r="A54" s="270">
        <v>251220</v>
      </c>
      <c r="B54" s="270">
        <v>249490</v>
      </c>
      <c r="C54" s="270">
        <v>251340</v>
      </c>
      <c r="D54" s="270">
        <v>249720</v>
      </c>
      <c r="E54">
        <v>1790</v>
      </c>
      <c r="F54" s="137">
        <v>7.1999999999999998E-3</v>
      </c>
      <c r="G54" s="203">
        <v>44382</v>
      </c>
      <c r="H54" t="s">
        <v>6757</v>
      </c>
      <c r="I54" s="40" t="s">
        <v>6734</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6734</v>
      </c>
      <c r="L55" s="40" t="str">
        <f t="shared" si="0"/>
        <v>USD,20210704,254490,254640,251090,251510,1,1,1</v>
      </c>
    </row>
    <row r="56" spans="1:12">
      <c r="A56" s="270">
        <v>251600</v>
      </c>
      <c r="B56" s="270">
        <v>251390</v>
      </c>
      <c r="C56" s="270">
        <v>253840</v>
      </c>
      <c r="D56" s="270">
        <v>252360</v>
      </c>
      <c r="E56">
        <v>850</v>
      </c>
      <c r="F56" s="137">
        <v>3.3999999999999998E-3</v>
      </c>
      <c r="G56" s="203">
        <v>44380</v>
      </c>
      <c r="H56" t="s">
        <v>6758</v>
      </c>
      <c r="I56" s="40" t="s">
        <v>6734</v>
      </c>
      <c r="L56" s="40" t="str">
        <f t="shared" si="0"/>
        <v>USD,20210703,251600,253840,251390,252360,1,1,1</v>
      </c>
    </row>
    <row r="57" spans="1:12">
      <c r="A57" s="270">
        <v>253290</v>
      </c>
      <c r="B57" s="270">
        <v>250690</v>
      </c>
      <c r="C57" s="270">
        <v>253440</v>
      </c>
      <c r="D57" s="270">
        <v>251510</v>
      </c>
      <c r="E57">
        <v>2490</v>
      </c>
      <c r="F57" s="137">
        <v>9.9000000000000008E-3</v>
      </c>
      <c r="G57" s="203">
        <v>44378</v>
      </c>
      <c r="H57" t="s">
        <v>6759</v>
      </c>
      <c r="I57" s="40" t="s">
        <v>6734</v>
      </c>
      <c r="L57" s="40" t="str">
        <f t="shared" si="0"/>
        <v>USD,20210701,253290,253440,250690,251510,1,1,1</v>
      </c>
    </row>
    <row r="58" spans="1:12">
      <c r="A58" s="270">
        <v>250020</v>
      </c>
      <c r="B58" s="270">
        <v>249990</v>
      </c>
      <c r="C58" s="270">
        <v>254130</v>
      </c>
      <c r="D58" s="270">
        <v>254000</v>
      </c>
      <c r="E58">
        <v>4350</v>
      </c>
      <c r="F58" s="137">
        <v>1.7399999999999999E-2</v>
      </c>
      <c r="G58" s="203">
        <v>44377</v>
      </c>
      <c r="H58" t="s">
        <v>6760</v>
      </c>
      <c r="I58" s="40" t="s">
        <v>6734</v>
      </c>
      <c r="L58" s="40" t="str">
        <f t="shared" si="0"/>
        <v>USD,20210630,250020,254130,249990,254000,1,1,1</v>
      </c>
    </row>
    <row r="59" spans="1:12">
      <c r="A59" s="270">
        <v>249000</v>
      </c>
      <c r="B59" s="270">
        <v>248890</v>
      </c>
      <c r="C59" s="270">
        <v>252040</v>
      </c>
      <c r="D59" s="270">
        <v>249650</v>
      </c>
      <c r="E59">
        <v>2530</v>
      </c>
      <c r="F59" s="137">
        <v>1.0200000000000001E-2</v>
      </c>
      <c r="G59" s="203">
        <v>44376</v>
      </c>
      <c r="H59" t="s">
        <v>6761</v>
      </c>
      <c r="I59" s="40" t="s">
        <v>6734</v>
      </c>
      <c r="L59" s="40" t="str">
        <f t="shared" si="0"/>
        <v>USD,20210629,249000,252040,248890,249650,1,1,1</v>
      </c>
    </row>
    <row r="60" spans="1:12">
      <c r="A60" s="270">
        <v>246360</v>
      </c>
      <c r="B60" s="270">
        <v>246290</v>
      </c>
      <c r="C60" s="270">
        <v>248640</v>
      </c>
      <c r="D60" s="270">
        <v>247120</v>
      </c>
      <c r="E60">
        <v>350</v>
      </c>
      <c r="F60" s="137">
        <v>1.4E-3</v>
      </c>
      <c r="G60" s="203">
        <v>44375</v>
      </c>
      <c r="H60" t="s">
        <v>6762</v>
      </c>
      <c r="I60" s="40" t="s">
        <v>6734</v>
      </c>
      <c r="L60" s="40" t="str">
        <f t="shared" si="0"/>
        <v>USD,20210628,246360,248640,246290,247120,1,1,1</v>
      </c>
    </row>
    <row r="61" spans="1:12">
      <c r="A61" s="270">
        <v>243490</v>
      </c>
      <c r="B61" s="270">
        <v>243490</v>
      </c>
      <c r="C61" s="270">
        <v>246940</v>
      </c>
      <c r="D61" s="270">
        <v>246770</v>
      </c>
      <c r="E61">
        <v>2230</v>
      </c>
      <c r="F61" s="137">
        <v>9.1000000000000004E-3</v>
      </c>
      <c r="G61" s="203">
        <v>44374</v>
      </c>
      <c r="H61" t="s">
        <v>6763</v>
      </c>
      <c r="I61" s="40" t="s">
        <v>6734</v>
      </c>
      <c r="L61" s="40" t="str">
        <f t="shared" si="0"/>
        <v>USD,20210627,243490,246940,243490,246770,1,1,1</v>
      </c>
    </row>
    <row r="62" spans="1:12">
      <c r="A62" s="270">
        <v>244500</v>
      </c>
      <c r="B62" s="270">
        <v>242290</v>
      </c>
      <c r="C62" s="270">
        <v>245940</v>
      </c>
      <c r="D62" s="270">
        <v>244540</v>
      </c>
      <c r="E62">
        <v>2650</v>
      </c>
      <c r="F62" s="137">
        <v>1.0999999999999999E-2</v>
      </c>
      <c r="G62" s="203">
        <v>44373</v>
      </c>
      <c r="H62" t="s">
        <v>6764</v>
      </c>
      <c r="I62" s="40" t="s">
        <v>6734</v>
      </c>
      <c r="L62" s="40" t="str">
        <f t="shared" si="0"/>
        <v>USD,20210626,244500,245940,242290,244540,1,1,1</v>
      </c>
    </row>
    <row r="63" spans="1:12">
      <c r="A63" s="270">
        <v>241690</v>
      </c>
      <c r="B63" s="270">
        <v>241190</v>
      </c>
      <c r="C63" s="270">
        <v>242440</v>
      </c>
      <c r="D63" s="270">
        <v>241890</v>
      </c>
      <c r="E63">
        <v>100</v>
      </c>
      <c r="F63" s="137">
        <v>4.0000000000000002E-4</v>
      </c>
      <c r="G63" s="203">
        <v>44371</v>
      </c>
      <c r="H63" t="s">
        <v>6765</v>
      </c>
      <c r="I63" s="40" t="s">
        <v>6734</v>
      </c>
      <c r="L63" s="40" t="str">
        <f t="shared" si="0"/>
        <v>USD,20210624,241690,242440,241190,241890,1,1,1</v>
      </c>
    </row>
    <row r="64" spans="1:12">
      <c r="A64" s="270">
        <v>243310</v>
      </c>
      <c r="B64" s="270">
        <v>240790</v>
      </c>
      <c r="C64" s="270">
        <v>243340</v>
      </c>
      <c r="D64" s="270">
        <v>241790</v>
      </c>
      <c r="E64">
        <v>880</v>
      </c>
      <c r="F64" s="137">
        <v>3.5999999999999999E-3</v>
      </c>
      <c r="G64" s="203">
        <v>44370</v>
      </c>
      <c r="H64" t="s">
        <v>6766</v>
      </c>
      <c r="I64" s="40" t="s">
        <v>6734</v>
      </c>
      <c r="L64" s="40" t="str">
        <f t="shared" si="0"/>
        <v>USD,20210623,243310,243340,240790,241790,1,1,1</v>
      </c>
    </row>
    <row r="65" spans="1:12">
      <c r="A65" s="270">
        <v>241190</v>
      </c>
      <c r="B65" s="270">
        <v>241190</v>
      </c>
      <c r="C65" s="270">
        <v>243140</v>
      </c>
      <c r="D65" s="270">
        <v>242670</v>
      </c>
      <c r="E65">
        <v>1680</v>
      </c>
      <c r="F65" s="137">
        <v>7.0000000000000001E-3</v>
      </c>
      <c r="G65" s="203">
        <v>44369</v>
      </c>
      <c r="H65" t="s">
        <v>6767</v>
      </c>
      <c r="I65" s="40" t="s">
        <v>6734</v>
      </c>
      <c r="L65" s="40" t="str">
        <f t="shared" si="0"/>
        <v>USD,20210622,241190,243140,241190,242670,1,1,1</v>
      </c>
    </row>
    <row r="66" spans="1:12">
      <c r="A66" s="270">
        <v>239940</v>
      </c>
      <c r="B66" s="270">
        <v>239190</v>
      </c>
      <c r="C66" s="270">
        <v>241440</v>
      </c>
      <c r="D66" s="270">
        <v>240990</v>
      </c>
      <c r="E66">
        <v>1390</v>
      </c>
      <c r="F66" s="137">
        <v>5.7999999999999996E-3</v>
      </c>
      <c r="G66" s="203">
        <v>44368</v>
      </c>
      <c r="H66" t="s">
        <v>6768</v>
      </c>
      <c r="I66" s="40" t="s">
        <v>6734</v>
      </c>
      <c r="L66" s="40" t="str">
        <f t="shared" si="0"/>
        <v>USD,20210621,239940,241440,239190,240990,1,1,1</v>
      </c>
    </row>
    <row r="67" spans="1:12">
      <c r="A67" s="270">
        <v>234810</v>
      </c>
      <c r="B67" s="270">
        <v>234690</v>
      </c>
      <c r="C67" s="270">
        <v>240440</v>
      </c>
      <c r="D67" s="270">
        <v>239600</v>
      </c>
      <c r="E67">
        <v>4710</v>
      </c>
      <c r="F67" s="137">
        <v>2.01E-2</v>
      </c>
      <c r="G67" s="203">
        <v>44367</v>
      </c>
      <c r="H67" t="s">
        <v>6769</v>
      </c>
      <c r="I67" s="40" t="s">
        <v>6734</v>
      </c>
      <c r="L67" s="40" t="str">
        <f t="shared" si="0"/>
        <v>USD,20210620,234810,240440,234690,239600,1,1,1</v>
      </c>
    </row>
    <row r="68" spans="1:12">
      <c r="A68" s="270">
        <v>244490</v>
      </c>
      <c r="B68" s="270">
        <v>234690</v>
      </c>
      <c r="C68" s="270">
        <v>244640</v>
      </c>
      <c r="D68" s="270">
        <v>234890</v>
      </c>
      <c r="E68">
        <v>9400</v>
      </c>
      <c r="F68" s="418">
        <v>0.04</v>
      </c>
      <c r="G68" s="203">
        <v>44366</v>
      </c>
      <c r="H68" t="s">
        <v>6770</v>
      </c>
      <c r="I68" s="40" t="s">
        <v>6734</v>
      </c>
      <c r="L68" s="40" t="str">
        <f t="shared" si="0"/>
        <v>USD,20210619,244490,244640,234690,234890,1,1,1</v>
      </c>
    </row>
    <row r="69" spans="1:12">
      <c r="A69" s="270">
        <v>242010</v>
      </c>
      <c r="B69" s="270">
        <v>241950</v>
      </c>
      <c r="C69" s="270">
        <v>244640</v>
      </c>
      <c r="D69" s="270">
        <v>244290</v>
      </c>
      <c r="E69">
        <v>2540</v>
      </c>
      <c r="F69" s="137">
        <v>1.0500000000000001E-2</v>
      </c>
      <c r="G69" s="203">
        <v>44364</v>
      </c>
      <c r="H69" t="s">
        <v>6771</v>
      </c>
      <c r="I69" s="40" t="s">
        <v>6734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6772</v>
      </c>
      <c r="I70" s="40" t="s">
        <v>6734</v>
      </c>
      <c r="L70" s="40" t="str">
        <f t="shared" si="1"/>
        <v>USD,20210616,240470,242250,239450,241750,1,1,1</v>
      </c>
    </row>
    <row r="71" spans="1:12">
      <c r="A71" s="270">
        <v>239970</v>
      </c>
      <c r="B71" s="270">
        <v>239950</v>
      </c>
      <c r="C71" s="270">
        <v>240050</v>
      </c>
      <c r="D71" s="270">
        <v>240490</v>
      </c>
      <c r="E71">
        <v>770</v>
      </c>
      <c r="F71" s="137">
        <v>3.2000000000000002E-3</v>
      </c>
      <c r="G71" s="203">
        <v>44362</v>
      </c>
      <c r="H71" t="s">
        <v>6773</v>
      </c>
      <c r="I71" s="40" t="s">
        <v>6734</v>
      </c>
      <c r="L71" s="40" t="str">
        <f t="shared" si="1"/>
        <v>USD,20210615,239970,240050,239950,240490,1,1,1</v>
      </c>
    </row>
    <row r="72" spans="1:12">
      <c r="A72" s="270">
        <v>240970</v>
      </c>
      <c r="B72" s="270">
        <v>238550</v>
      </c>
      <c r="C72" s="270">
        <v>241050</v>
      </c>
      <c r="D72" s="270">
        <v>239720</v>
      </c>
      <c r="E72">
        <v>1310</v>
      </c>
      <c r="F72" s="137">
        <v>5.4999999999999997E-3</v>
      </c>
      <c r="G72" s="203">
        <v>44361</v>
      </c>
      <c r="H72" t="s">
        <v>6774</v>
      </c>
      <c r="I72" s="40" t="s">
        <v>6734</v>
      </c>
      <c r="L72" s="40" t="str">
        <f t="shared" si="1"/>
        <v>USD,20210614,240970,241050,238550,239720,1,1,1</v>
      </c>
    </row>
    <row r="73" spans="1:12">
      <c r="A73" s="270">
        <v>238970</v>
      </c>
      <c r="B73" s="270">
        <v>238940</v>
      </c>
      <c r="C73" s="270">
        <v>241250</v>
      </c>
      <c r="D73" s="270">
        <v>241030</v>
      </c>
      <c r="E73">
        <v>3280</v>
      </c>
      <c r="F73" s="137">
        <v>1.38E-2</v>
      </c>
      <c r="G73" s="203">
        <v>44360</v>
      </c>
      <c r="H73" t="s">
        <v>6775</v>
      </c>
      <c r="I73" s="40" t="s">
        <v>6734</v>
      </c>
      <c r="L73" s="40" t="str">
        <f t="shared" si="1"/>
        <v>USD,20210613,238970,241250,238940,241030,1,1,1</v>
      </c>
    </row>
    <row r="74" spans="1:12">
      <c r="A74" s="270">
        <v>236830</v>
      </c>
      <c r="B74" s="270">
        <v>236140</v>
      </c>
      <c r="C74" s="270">
        <v>238350</v>
      </c>
      <c r="D74" s="270">
        <v>237750</v>
      </c>
      <c r="E74">
        <v>1480</v>
      </c>
      <c r="F74" s="137">
        <v>6.1999999999999998E-3</v>
      </c>
      <c r="G74" s="203">
        <v>44359</v>
      </c>
      <c r="H74" t="s">
        <v>6776</v>
      </c>
      <c r="I74" s="40" t="s">
        <v>6734</v>
      </c>
      <c r="L74" s="40" t="str">
        <f t="shared" si="1"/>
        <v>USD,20210612,236830,238350,236140,237750,1,1,1</v>
      </c>
    </row>
    <row r="75" spans="1:12">
      <c r="A75" s="270">
        <v>240010</v>
      </c>
      <c r="B75" s="270">
        <v>239140</v>
      </c>
      <c r="C75" s="270">
        <v>240450</v>
      </c>
      <c r="D75" s="270">
        <v>239230</v>
      </c>
      <c r="E75">
        <v>2210</v>
      </c>
      <c r="F75" s="137">
        <v>9.1999999999999998E-3</v>
      </c>
      <c r="G75" s="203">
        <v>44357</v>
      </c>
      <c r="H75" t="s">
        <v>6777</v>
      </c>
      <c r="I75" s="40" t="s">
        <v>6734</v>
      </c>
      <c r="L75" s="40" t="str">
        <f t="shared" si="1"/>
        <v>USD,20210610,240010,240450,239140,239230,1,1,1</v>
      </c>
    </row>
    <row r="76" spans="1:12">
      <c r="A76" s="270">
        <v>235480</v>
      </c>
      <c r="B76" s="270">
        <v>235440</v>
      </c>
      <c r="C76" s="270">
        <v>241550</v>
      </c>
      <c r="D76" s="270">
        <v>241440</v>
      </c>
      <c r="E76">
        <v>5950</v>
      </c>
      <c r="F76" s="137">
        <v>2.53E-2</v>
      </c>
      <c r="G76" s="203">
        <v>44356</v>
      </c>
      <c r="H76" t="s">
        <v>6778</v>
      </c>
      <c r="I76" s="40" t="s">
        <v>6734</v>
      </c>
      <c r="L76" s="40" t="str">
        <f t="shared" si="1"/>
        <v>USD,20210609,235480,241550,235440,241440,1,1,1</v>
      </c>
    </row>
    <row r="77" spans="1:12">
      <c r="A77" s="270">
        <v>235890</v>
      </c>
      <c r="B77" s="270">
        <v>234820</v>
      </c>
      <c r="C77" s="270">
        <v>235960</v>
      </c>
      <c r="D77" s="270">
        <v>235490</v>
      </c>
      <c r="E77">
        <v>460</v>
      </c>
      <c r="F77" s="137">
        <v>2E-3</v>
      </c>
      <c r="G77" s="203">
        <v>44355</v>
      </c>
      <c r="H77" t="s">
        <v>6779</v>
      </c>
      <c r="I77" s="40" t="s">
        <v>6734</v>
      </c>
      <c r="L77" s="40" t="str">
        <f t="shared" si="1"/>
        <v>USD,20210608,235890,235960,234820,235490,1,1,1</v>
      </c>
    </row>
    <row r="78" spans="1:12">
      <c r="A78" s="270">
        <v>234340</v>
      </c>
      <c r="B78" s="270">
        <v>234240</v>
      </c>
      <c r="C78" s="270">
        <v>235960</v>
      </c>
      <c r="D78" s="270">
        <v>235950</v>
      </c>
      <c r="E78">
        <v>1620</v>
      </c>
      <c r="F78" s="137">
        <v>6.8999999999999999E-3</v>
      </c>
      <c r="G78" s="203">
        <v>44354</v>
      </c>
      <c r="H78" t="s">
        <v>6780</v>
      </c>
      <c r="I78" s="40" t="s">
        <v>6734</v>
      </c>
      <c r="L78" s="40" t="str">
        <f t="shared" si="1"/>
        <v>USD,20210607,234340,235960,234240,235950,1,1,1</v>
      </c>
    </row>
    <row r="79" spans="1:12">
      <c r="A79" s="270">
        <v>234330</v>
      </c>
      <c r="B79" s="270">
        <v>233900</v>
      </c>
      <c r="C79" s="270">
        <v>234350</v>
      </c>
      <c r="D79" s="270">
        <v>234330</v>
      </c>
      <c r="E79">
        <v>90</v>
      </c>
      <c r="F79" s="137">
        <v>4.0000000000000002E-4</v>
      </c>
      <c r="G79" s="203">
        <v>44350</v>
      </c>
      <c r="H79" t="s">
        <v>6781</v>
      </c>
      <c r="I79" s="40" t="s">
        <v>6734</v>
      </c>
      <c r="L79" s="40" t="str">
        <f t="shared" si="1"/>
        <v>USD,20210603,234330,234350,233900,234330,1,1,1</v>
      </c>
    </row>
    <row r="80" spans="1:12">
      <c r="A80" s="270">
        <v>234060</v>
      </c>
      <c r="B80" s="270">
        <v>228150</v>
      </c>
      <c r="C80" s="270">
        <v>234360</v>
      </c>
      <c r="D80" s="270">
        <v>234240</v>
      </c>
      <c r="E80">
        <v>80</v>
      </c>
      <c r="F80" s="137">
        <v>2.9999999999999997E-4</v>
      </c>
      <c r="G80" s="203">
        <v>44349</v>
      </c>
      <c r="H80" t="s">
        <v>6782</v>
      </c>
      <c r="I80" s="40" t="s">
        <v>6734</v>
      </c>
      <c r="L80" s="40" t="str">
        <f t="shared" si="1"/>
        <v>USD,20210602,234060,234360,228150,234240,1,1,1</v>
      </c>
    </row>
    <row r="81" spans="1:12">
      <c r="A81" s="270">
        <v>234000</v>
      </c>
      <c r="B81" s="270">
        <v>233970</v>
      </c>
      <c r="C81" s="270">
        <v>238660</v>
      </c>
      <c r="D81" s="270">
        <v>234160</v>
      </c>
      <c r="E81">
        <v>100</v>
      </c>
      <c r="F81" s="137">
        <v>4.0000000000000002E-4</v>
      </c>
      <c r="G81" s="203">
        <v>44348</v>
      </c>
      <c r="H81" t="s">
        <v>6783</v>
      </c>
      <c r="I81" s="40" t="s">
        <v>6734</v>
      </c>
      <c r="L81" s="40" t="str">
        <f t="shared" si="1"/>
        <v>USD,20210601,234000,238660,233970,234160,1,1,1</v>
      </c>
    </row>
    <row r="82" spans="1:12">
      <c r="A82" s="270">
        <v>238590</v>
      </c>
      <c r="B82" s="270">
        <v>232950</v>
      </c>
      <c r="C82" s="270">
        <v>238660</v>
      </c>
      <c r="D82" s="270">
        <v>234060</v>
      </c>
      <c r="E82">
        <v>4510</v>
      </c>
      <c r="F82" s="137">
        <v>1.9300000000000001E-2</v>
      </c>
      <c r="G82" s="203">
        <v>44347</v>
      </c>
      <c r="H82" t="s">
        <v>6784</v>
      </c>
      <c r="I82" s="40" t="s">
        <v>6734</v>
      </c>
      <c r="L82" s="40" t="str">
        <f t="shared" si="1"/>
        <v>USD,20210531,238590,238660,232950,234060,1,1,1</v>
      </c>
    </row>
    <row r="83" spans="1:12">
      <c r="A83" s="270">
        <v>234640</v>
      </c>
      <c r="B83" s="270">
        <v>234550</v>
      </c>
      <c r="C83" s="270">
        <v>238660</v>
      </c>
      <c r="D83" s="270">
        <v>238570</v>
      </c>
      <c r="E83">
        <v>3910</v>
      </c>
      <c r="F83" s="137">
        <v>1.67E-2</v>
      </c>
      <c r="G83" s="203">
        <v>44346</v>
      </c>
      <c r="H83" t="s">
        <v>6785</v>
      </c>
      <c r="I83" s="40" t="s">
        <v>6734</v>
      </c>
      <c r="L83" s="40" t="str">
        <f t="shared" si="1"/>
        <v>USD,20210530,234640,238660,234550,238570,1,1,1</v>
      </c>
    </row>
    <row r="84" spans="1:12">
      <c r="A84" s="270">
        <v>226560</v>
      </c>
      <c r="B84" s="270">
        <v>226460</v>
      </c>
      <c r="C84" s="270">
        <v>234660</v>
      </c>
      <c r="D84" s="270">
        <v>234660</v>
      </c>
      <c r="E84" t="s">
        <v>6728</v>
      </c>
      <c r="F84" t="s">
        <v>6728</v>
      </c>
      <c r="G84" s="203">
        <v>44345</v>
      </c>
      <c r="H84" t="s">
        <v>6786</v>
      </c>
      <c r="I84" s="40" t="s">
        <v>6734</v>
      </c>
      <c r="L84" s="40" t="str">
        <f t="shared" si="1"/>
        <v>USD,20210529,226560,234660,226460,234660,1,1,1</v>
      </c>
    </row>
    <row r="85" spans="1:12">
      <c r="A85" s="270">
        <v>225260</v>
      </c>
      <c r="B85" s="270">
        <v>225170</v>
      </c>
      <c r="C85" s="270">
        <v>231470</v>
      </c>
      <c r="D85" s="270">
        <v>231470</v>
      </c>
      <c r="E85">
        <v>6310</v>
      </c>
      <c r="F85" s="137">
        <v>2.8000000000000001E-2</v>
      </c>
      <c r="G85" s="203">
        <v>44343</v>
      </c>
      <c r="H85" t="s">
        <v>6787</v>
      </c>
      <c r="I85" s="40" t="s">
        <v>6734</v>
      </c>
      <c r="L85" s="40" t="str">
        <f t="shared" si="1"/>
        <v>USD,20210527,225260,231470,225170,231470,1,1,1</v>
      </c>
    </row>
    <row r="86" spans="1:12">
      <c r="A86" s="270">
        <v>224190</v>
      </c>
      <c r="B86" s="270">
        <v>224100</v>
      </c>
      <c r="C86" s="270">
        <v>225270</v>
      </c>
      <c r="D86" s="270">
        <v>225160</v>
      </c>
      <c r="E86">
        <v>1060</v>
      </c>
      <c r="F86" s="137">
        <v>4.7000000000000002E-3</v>
      </c>
      <c r="G86" s="203">
        <v>44342</v>
      </c>
      <c r="H86" t="s">
        <v>6788</v>
      </c>
      <c r="I86" s="40" t="s">
        <v>6734</v>
      </c>
      <c r="L86" s="40" t="str">
        <f t="shared" si="1"/>
        <v>USD,20210526,224190,225270,224100,225160,1,1,1</v>
      </c>
    </row>
    <row r="87" spans="1:12">
      <c r="A87" s="270">
        <v>224120</v>
      </c>
      <c r="B87" s="270">
        <v>223150</v>
      </c>
      <c r="C87" s="270">
        <v>224430</v>
      </c>
      <c r="D87" s="270">
        <v>224100</v>
      </c>
      <c r="E87">
        <v>10</v>
      </c>
      <c r="F87" t="s">
        <v>6728</v>
      </c>
      <c r="G87" s="203">
        <v>44341</v>
      </c>
      <c r="H87" t="s">
        <v>6789</v>
      </c>
      <c r="I87" s="40" t="s">
        <v>6734</v>
      </c>
      <c r="L87" s="40" t="str">
        <f t="shared" si="1"/>
        <v>USD,20210525,224120,224430,223150,224100,1,1,1</v>
      </c>
    </row>
    <row r="88" spans="1:12">
      <c r="A88" s="270">
        <v>223590</v>
      </c>
      <c r="B88" s="270">
        <v>223490</v>
      </c>
      <c r="C88" s="270">
        <v>225110</v>
      </c>
      <c r="D88" s="270">
        <v>224110</v>
      </c>
      <c r="E88">
        <v>600</v>
      </c>
      <c r="F88" s="137">
        <v>2.7000000000000001E-3</v>
      </c>
      <c r="G88" s="203">
        <v>44340</v>
      </c>
      <c r="H88" t="s">
        <v>6790</v>
      </c>
      <c r="I88" s="40" t="s">
        <v>6734</v>
      </c>
      <c r="L88" s="40" t="str">
        <f t="shared" si="1"/>
        <v>USD,20210524,223590,225110,223490,224110,1,1,1</v>
      </c>
    </row>
    <row r="89" spans="1:12">
      <c r="A89" s="270">
        <v>223440</v>
      </c>
      <c r="B89" s="270">
        <v>223390</v>
      </c>
      <c r="C89" s="270">
        <v>223990</v>
      </c>
      <c r="D89" s="270">
        <v>223510</v>
      </c>
      <c r="E89">
        <v>20</v>
      </c>
      <c r="F89" s="137">
        <v>1E-4</v>
      </c>
      <c r="G89" s="203">
        <v>44339</v>
      </c>
      <c r="H89" t="s">
        <v>6791</v>
      </c>
      <c r="I89" s="40" t="s">
        <v>6734</v>
      </c>
      <c r="L89" s="40" t="str">
        <f t="shared" si="1"/>
        <v>USD,20210523,223440,223990,223390,223510,1,1,1</v>
      </c>
    </row>
    <row r="90" spans="1:12">
      <c r="A90" s="270">
        <v>222980</v>
      </c>
      <c r="B90" s="270">
        <v>222930</v>
      </c>
      <c r="C90" s="270">
        <v>223550</v>
      </c>
      <c r="D90" s="270">
        <v>223490</v>
      </c>
      <c r="E90">
        <v>490</v>
      </c>
      <c r="F90" s="137">
        <v>2.2000000000000001E-3</v>
      </c>
      <c r="G90" s="203">
        <v>44338</v>
      </c>
      <c r="H90" t="s">
        <v>6792</v>
      </c>
      <c r="I90" s="40" t="s">
        <v>6734</v>
      </c>
      <c r="L90" s="40" t="str">
        <f t="shared" si="1"/>
        <v>USD,20210522,222980,223550,222930,223490,1,1,1</v>
      </c>
    </row>
    <row r="91" spans="1:12">
      <c r="A91" s="270">
        <v>223990</v>
      </c>
      <c r="B91" s="270">
        <v>222930</v>
      </c>
      <c r="C91" s="270">
        <v>224020</v>
      </c>
      <c r="D91" s="270">
        <v>223000</v>
      </c>
      <c r="E91">
        <v>1210</v>
      </c>
      <c r="F91" s="137">
        <v>5.4999999999999997E-3</v>
      </c>
      <c r="G91" s="203">
        <v>44336</v>
      </c>
      <c r="H91" t="s">
        <v>6793</v>
      </c>
      <c r="I91" s="40" t="s">
        <v>6734</v>
      </c>
      <c r="L91" s="40" t="str">
        <f t="shared" si="1"/>
        <v>USD,20210520,223990,224020,222930,223000,1,1,1</v>
      </c>
    </row>
    <row r="92" spans="1:12">
      <c r="A92" s="270">
        <v>225270</v>
      </c>
      <c r="B92" s="270">
        <v>221720</v>
      </c>
      <c r="C92" s="270">
        <v>225380</v>
      </c>
      <c r="D92" s="270">
        <v>221790</v>
      </c>
      <c r="E92">
        <v>3550</v>
      </c>
      <c r="F92" s="137">
        <v>1.6E-2</v>
      </c>
      <c r="G92" s="203">
        <v>44335</v>
      </c>
      <c r="H92" t="s">
        <v>6794</v>
      </c>
      <c r="I92" s="40" t="s">
        <v>6734</v>
      </c>
      <c r="L92" s="40" t="str">
        <f t="shared" si="1"/>
        <v>USD,20210519,225270,225380,221720,221790,1,1,1</v>
      </c>
    </row>
    <row r="93" spans="1:12">
      <c r="A93" s="270">
        <v>222240</v>
      </c>
      <c r="B93" s="270">
        <v>222140</v>
      </c>
      <c r="C93" s="270">
        <v>225380</v>
      </c>
      <c r="D93" s="270">
        <v>225340</v>
      </c>
      <c r="E93">
        <v>3150</v>
      </c>
      <c r="F93" s="137">
        <v>1.4200000000000001E-2</v>
      </c>
      <c r="G93" s="203">
        <v>44334</v>
      </c>
      <c r="H93" t="s">
        <v>6796</v>
      </c>
      <c r="I93" s="40" t="s">
        <v>6734</v>
      </c>
      <c r="L93" s="40" t="str">
        <f t="shared" si="1"/>
        <v>USD,20210518,222240,225380,222140,225340,1,1,1</v>
      </c>
    </row>
    <row r="94" spans="1:12">
      <c r="A94" s="270">
        <v>224160</v>
      </c>
      <c r="B94" s="270">
        <v>222140</v>
      </c>
      <c r="C94" s="270">
        <v>225270</v>
      </c>
      <c r="D94" s="270">
        <v>222190</v>
      </c>
      <c r="E94">
        <v>1950</v>
      </c>
      <c r="F94" s="137">
        <v>8.8000000000000005E-3</v>
      </c>
      <c r="G94" s="203">
        <v>44333</v>
      </c>
      <c r="H94" t="s">
        <v>6797</v>
      </c>
      <c r="I94" s="40" t="s">
        <v>6734</v>
      </c>
      <c r="L94" s="40" t="str">
        <f t="shared" si="1"/>
        <v>USD,20210517,224160,225270,222140,222190,1,1,1</v>
      </c>
    </row>
    <row r="95" spans="1:12">
      <c r="A95" s="270">
        <v>220520</v>
      </c>
      <c r="B95" s="270">
        <v>220410</v>
      </c>
      <c r="C95" s="270">
        <v>224160</v>
      </c>
      <c r="D95" s="270">
        <v>224140</v>
      </c>
      <c r="E95">
        <v>3640</v>
      </c>
      <c r="F95" s="137">
        <v>1.6500000000000001E-2</v>
      </c>
      <c r="G95" s="203">
        <v>44332</v>
      </c>
      <c r="H95" t="s">
        <v>6798</v>
      </c>
      <c r="I95" s="40" t="s">
        <v>6734</v>
      </c>
      <c r="L95" s="40" t="str">
        <f t="shared" si="1"/>
        <v>USD,20210516,220520,224160,220410,224140,1,1,1</v>
      </c>
    </row>
    <row r="96" spans="1:12">
      <c r="A96" s="270">
        <v>220760</v>
      </c>
      <c r="B96" s="270">
        <v>220410</v>
      </c>
      <c r="C96" s="270">
        <v>221880</v>
      </c>
      <c r="D96" s="270">
        <v>220500</v>
      </c>
      <c r="E96">
        <v>4370</v>
      </c>
      <c r="F96" s="137">
        <v>2.0199999999999999E-2</v>
      </c>
      <c r="G96" s="203">
        <v>44331</v>
      </c>
      <c r="H96" t="s">
        <v>6799</v>
      </c>
      <c r="I96" s="40" t="s">
        <v>6734</v>
      </c>
      <c r="L96" s="40" t="str">
        <f t="shared" si="1"/>
        <v>USD,20210515,220760,221880,220410,220500,1,1,1</v>
      </c>
    </row>
    <row r="97" spans="1:12">
      <c r="A97" s="270">
        <v>219790</v>
      </c>
      <c r="B97" s="270">
        <v>216130</v>
      </c>
      <c r="C97" s="270">
        <v>219860</v>
      </c>
      <c r="D97" s="270">
        <v>216130</v>
      </c>
      <c r="E97">
        <v>3620</v>
      </c>
      <c r="F97" s="137">
        <v>1.67E-2</v>
      </c>
      <c r="G97" s="203">
        <v>44329</v>
      </c>
      <c r="H97" t="s">
        <v>6800</v>
      </c>
      <c r="I97" s="40" t="s">
        <v>6734</v>
      </c>
      <c r="L97" s="40" t="str">
        <f t="shared" si="1"/>
        <v>USD,20210513,219790,219860,216130,216130,1,1,1</v>
      </c>
    </row>
    <row r="98" spans="1:12">
      <c r="A98" s="270">
        <v>221860</v>
      </c>
      <c r="B98" s="270">
        <v>219750</v>
      </c>
      <c r="C98" s="270">
        <v>221950</v>
      </c>
      <c r="D98" s="270">
        <v>219750</v>
      </c>
      <c r="E98">
        <v>2100</v>
      </c>
      <c r="F98" s="137">
        <v>9.5999999999999992E-3</v>
      </c>
      <c r="G98" s="203">
        <v>44328</v>
      </c>
      <c r="H98" t="s">
        <v>6801</v>
      </c>
      <c r="I98" s="40" t="s">
        <v>6734</v>
      </c>
      <c r="L98" s="40" t="str">
        <f t="shared" si="1"/>
        <v>USD,20210512,221860,221950,219750,219750,1,1,1</v>
      </c>
    </row>
    <row r="99" spans="1:12">
      <c r="A99" s="270">
        <v>216080</v>
      </c>
      <c r="B99" s="270">
        <v>216080</v>
      </c>
      <c r="C99" s="270">
        <v>223410</v>
      </c>
      <c r="D99" s="270">
        <v>221850</v>
      </c>
      <c r="E99">
        <v>5720</v>
      </c>
      <c r="F99" s="137">
        <v>2.6499999999999999E-2</v>
      </c>
      <c r="G99" s="203">
        <v>44327</v>
      </c>
      <c r="H99" t="s">
        <v>6802</v>
      </c>
      <c r="I99" s="40" t="s">
        <v>6734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6803</v>
      </c>
      <c r="I100" s="40" t="s">
        <v>6734</v>
      </c>
      <c r="L100" s="40" t="str">
        <f t="shared" si="1"/>
        <v>USD,20210510,207240,217040,207190,216130,1,1,1</v>
      </c>
    </row>
    <row r="101" spans="1:12">
      <c r="A101" s="270">
        <v>206450</v>
      </c>
      <c r="B101" s="270">
        <v>206370</v>
      </c>
      <c r="C101" s="270">
        <v>207300</v>
      </c>
      <c r="D101" s="270">
        <v>207260</v>
      </c>
      <c r="E101">
        <v>890</v>
      </c>
      <c r="F101" s="137">
        <v>4.3E-3</v>
      </c>
      <c r="G101" s="203">
        <v>44325</v>
      </c>
      <c r="H101" t="s">
        <v>6804</v>
      </c>
      <c r="I101" s="40" t="s">
        <v>6734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6805</v>
      </c>
      <c r="I102" s="40" t="s">
        <v>6734</v>
      </c>
      <c r="L102" s="40" t="str">
        <f t="shared" si="1"/>
        <v>USD,20210508,206390,206480,206370,206370,1,1,1</v>
      </c>
    </row>
    <row r="103" spans="1:12">
      <c r="A103" s="270">
        <v>206440</v>
      </c>
      <c r="B103" s="270">
        <v>206370</v>
      </c>
      <c r="C103" s="270">
        <v>206480</v>
      </c>
      <c r="D103" s="270">
        <v>206480</v>
      </c>
      <c r="E103">
        <v>2970</v>
      </c>
      <c r="F103" s="137">
        <v>1.44E-2</v>
      </c>
      <c r="G103" s="203">
        <v>44322</v>
      </c>
      <c r="H103" t="s">
        <v>6806</v>
      </c>
      <c r="I103" s="40" t="s">
        <v>6734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6807</v>
      </c>
      <c r="I104" s="40" t="s">
        <v>6734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6808</v>
      </c>
      <c r="I105" s="40" t="s">
        <v>6734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6809</v>
      </c>
      <c r="I106" s="40" t="s">
        <v>6734</v>
      </c>
      <c r="L106" s="40" t="str">
        <f t="shared" si="1"/>
        <v>USD,20210502,229110,229130,218380,218380,1,1,1</v>
      </c>
    </row>
    <row r="107" spans="1:12">
      <c r="A107" s="270">
        <v>232340</v>
      </c>
      <c r="B107" s="270">
        <v>229020</v>
      </c>
      <c r="C107" s="270">
        <v>232420</v>
      </c>
      <c r="D107" s="270">
        <v>229100</v>
      </c>
      <c r="E107">
        <v>3210</v>
      </c>
      <c r="F107" s="137">
        <v>1.4E-2</v>
      </c>
      <c r="G107" s="203">
        <v>44317</v>
      </c>
      <c r="H107" t="s">
        <v>6810</v>
      </c>
      <c r="I107" s="40" t="s">
        <v>6734</v>
      </c>
      <c r="L107" s="40" t="str">
        <f t="shared" si="1"/>
        <v>USD,20210501,232340,232420,229020,229100,1,1,1</v>
      </c>
    </row>
    <row r="108" spans="1:12">
      <c r="A108" s="270">
        <v>232410</v>
      </c>
      <c r="B108" s="270">
        <v>232310</v>
      </c>
      <c r="C108" s="270">
        <v>232420</v>
      </c>
      <c r="D108" s="270">
        <v>232310</v>
      </c>
      <c r="E108">
        <v>20</v>
      </c>
      <c r="F108" s="137">
        <v>1E-4</v>
      </c>
      <c r="G108" s="203">
        <v>44315</v>
      </c>
      <c r="H108" t="s">
        <v>6811</v>
      </c>
      <c r="I108" s="40" t="s">
        <v>6734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6812</v>
      </c>
      <c r="I109" s="40" t="s">
        <v>6734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6813</v>
      </c>
      <c r="I110" s="40" t="s">
        <v>6734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6814</v>
      </c>
      <c r="I111" s="40" t="s">
        <v>6734</v>
      </c>
      <c r="L111" s="40" t="str">
        <f t="shared" si="1"/>
        <v>USD,20210426,233380,233390,232750,232760,1,1,1</v>
      </c>
    </row>
    <row r="112" spans="1:12">
      <c r="A112" s="270">
        <v>233280</v>
      </c>
      <c r="B112" s="270">
        <v>233280</v>
      </c>
      <c r="C112" s="270">
        <v>233390</v>
      </c>
      <c r="D112" s="270">
        <v>233390</v>
      </c>
      <c r="E112">
        <v>20</v>
      </c>
      <c r="F112" s="137">
        <v>1E-4</v>
      </c>
      <c r="G112" s="203">
        <v>44311</v>
      </c>
      <c r="H112" t="s">
        <v>6815</v>
      </c>
      <c r="I112" s="40" t="s">
        <v>6734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6816</v>
      </c>
      <c r="I113" s="40" t="s">
        <v>6734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6795</v>
      </c>
      <c r="I114" s="40" t="s">
        <v>6734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6817</v>
      </c>
      <c r="I115" s="40" t="s">
        <v>6734</v>
      </c>
      <c r="L115" s="40" t="str">
        <f t="shared" si="1"/>
        <v>USD,20210421,233650,233750,233640,233690,1,1,1</v>
      </c>
    </row>
    <row r="116" spans="1:12">
      <c r="A116" s="270">
        <v>238190</v>
      </c>
      <c r="B116" s="270">
        <v>233640</v>
      </c>
      <c r="C116" s="270">
        <v>238280</v>
      </c>
      <c r="D116" s="270">
        <v>233740</v>
      </c>
      <c r="E116">
        <v>4430</v>
      </c>
      <c r="F116" s="137">
        <v>1.9E-2</v>
      </c>
      <c r="G116" s="203">
        <v>44306</v>
      </c>
      <c r="H116" t="s">
        <v>6818</v>
      </c>
      <c r="I116" s="40" t="s">
        <v>6734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6819</v>
      </c>
      <c r="I117" s="40" t="s">
        <v>6734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6820</v>
      </c>
      <c r="I118" s="40" t="s">
        <v>6734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6821</v>
      </c>
      <c r="I119" s="40" t="s">
        <v>6734</v>
      </c>
      <c r="L119" s="40" t="str">
        <f t="shared" si="1"/>
        <v>USD,20210417,239930,240000,239860,239930,1,1,1</v>
      </c>
    </row>
    <row r="120" spans="1:12">
      <c r="A120" s="270">
        <v>240920</v>
      </c>
      <c r="B120" s="270">
        <v>239860</v>
      </c>
      <c r="C120" s="270">
        <v>241010</v>
      </c>
      <c r="D120" s="270">
        <v>239870</v>
      </c>
      <c r="E120">
        <v>2480</v>
      </c>
      <c r="F120" s="137">
        <v>1.03E-2</v>
      </c>
      <c r="G120" s="203">
        <v>44301</v>
      </c>
      <c r="H120" t="s">
        <v>6822</v>
      </c>
      <c r="I120" s="40" t="s">
        <v>6734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6823</v>
      </c>
      <c r="I121" s="40" t="s">
        <v>6734</v>
      </c>
      <c r="L121" s="40" t="str">
        <f t="shared" si="1"/>
        <v>USD,20210414,240800,242390,240790,242350,1,1,1</v>
      </c>
    </row>
    <row r="122" spans="1:12">
      <c r="A122" s="270">
        <v>243020</v>
      </c>
      <c r="B122" s="270">
        <v>240790</v>
      </c>
      <c r="C122" s="270">
        <v>243060</v>
      </c>
      <c r="D122" s="270">
        <v>240900</v>
      </c>
      <c r="E122">
        <v>2060</v>
      </c>
      <c r="F122" s="137">
        <v>8.6E-3</v>
      </c>
      <c r="G122" s="203">
        <v>44299</v>
      </c>
      <c r="H122" t="s">
        <v>6824</v>
      </c>
      <c r="I122" s="40" t="s">
        <v>6734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6825</v>
      </c>
      <c r="I123" s="40" t="s">
        <v>6734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6826</v>
      </c>
      <c r="I124" s="40" t="s">
        <v>6734</v>
      </c>
      <c r="L124" s="40" t="str">
        <f t="shared" si="1"/>
        <v>USD,20210411,241950,243930,241860,242850,1,1,1</v>
      </c>
    </row>
    <row r="125" spans="1:12">
      <c r="A125" s="270">
        <v>242890</v>
      </c>
      <c r="B125" s="270">
        <v>241860</v>
      </c>
      <c r="C125" s="270">
        <v>243570</v>
      </c>
      <c r="D125" s="270">
        <v>241880</v>
      </c>
      <c r="E125">
        <v>2780</v>
      </c>
      <c r="F125" s="137">
        <v>1.15E-2</v>
      </c>
      <c r="G125" s="203">
        <v>44296</v>
      </c>
      <c r="H125" t="s">
        <v>6827</v>
      </c>
      <c r="I125" s="40" t="s">
        <v>6734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6828</v>
      </c>
      <c r="I126" s="40" t="s">
        <v>6734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6829</v>
      </c>
      <c r="I127" s="40" t="s">
        <v>6734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6830</v>
      </c>
      <c r="I128" s="40" t="s">
        <v>6734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6831</v>
      </c>
      <c r="I129" s="40" t="s">
        <v>6734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6832</v>
      </c>
      <c r="I130" s="40" t="s">
        <v>6734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6833</v>
      </c>
      <c r="I131" s="40" t="s">
        <v>6734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6834</v>
      </c>
      <c r="I132" s="40" t="s">
        <v>6734</v>
      </c>
      <c r="L132" s="40" t="str">
        <f t="shared" si="1"/>
        <v>USD,20210401,252040,252100,251990,252100,1,1,1</v>
      </c>
    </row>
    <row r="133" spans="1:12">
      <c r="A133" s="270">
        <v>252550</v>
      </c>
      <c r="B133" s="270">
        <v>251990</v>
      </c>
      <c r="C133" s="270">
        <v>252550</v>
      </c>
      <c r="D133" s="270">
        <v>252040</v>
      </c>
      <c r="E133">
        <v>500</v>
      </c>
      <c r="F133" s="137">
        <v>2E-3</v>
      </c>
      <c r="G133" s="203">
        <v>44286</v>
      </c>
      <c r="H133" t="s">
        <v>6835</v>
      </c>
      <c r="I133" s="40" t="s">
        <v>6734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6836</v>
      </c>
      <c r="I134" s="40" t="s">
        <v>6734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6837</v>
      </c>
      <c r="I135" s="40" t="s">
        <v>6734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6838</v>
      </c>
      <c r="I136" s="40" t="s">
        <v>6734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6839</v>
      </c>
      <c r="I137" s="40" t="s">
        <v>6734</v>
      </c>
      <c r="L137" s="40" t="str">
        <f t="shared" si="2"/>
        <v>USD,20210318,240410,240430,239550,239630,1,1,1</v>
      </c>
    </row>
    <row r="138" spans="1:12">
      <c r="A138" s="270">
        <v>240920</v>
      </c>
      <c r="B138" s="270">
        <v>240320</v>
      </c>
      <c r="C138" s="270">
        <v>240950</v>
      </c>
      <c r="D138" s="270">
        <v>240400</v>
      </c>
      <c r="E138">
        <v>490</v>
      </c>
      <c r="F138" s="137">
        <v>2E-3</v>
      </c>
      <c r="G138" s="203">
        <v>44272</v>
      </c>
      <c r="H138" t="s">
        <v>6840</v>
      </c>
      <c r="I138" s="40" t="s">
        <v>6734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6734</v>
      </c>
      <c r="L139" s="40" t="str">
        <f t="shared" si="2"/>
        <v>USD,20210316,239200,241380,239100,240890,1,1,1</v>
      </c>
    </row>
    <row r="140" spans="1:12">
      <c r="A140" s="270">
        <v>239200</v>
      </c>
      <c r="B140" s="270">
        <v>239100</v>
      </c>
      <c r="C140" s="270">
        <v>239210</v>
      </c>
      <c r="D140" s="270">
        <v>239170</v>
      </c>
      <c r="E140" t="s">
        <v>6728</v>
      </c>
      <c r="F140" t="s">
        <v>6728</v>
      </c>
      <c r="G140" s="203">
        <v>44270</v>
      </c>
      <c r="H140" t="s">
        <v>6392</v>
      </c>
      <c r="I140" s="40" t="s">
        <v>6734</v>
      </c>
      <c r="L140" s="40" t="str">
        <f t="shared" si="2"/>
        <v>USD,20210315,239200,239210,239100,239170,1,1,1</v>
      </c>
    </row>
    <row r="141" spans="1:12">
      <c r="A141" s="270">
        <v>241810</v>
      </c>
      <c r="B141" s="270">
        <v>239100</v>
      </c>
      <c r="C141" s="270">
        <v>241880</v>
      </c>
      <c r="D141" s="270">
        <v>239170</v>
      </c>
      <c r="E141">
        <v>2600</v>
      </c>
      <c r="F141" s="137">
        <v>1.09E-2</v>
      </c>
      <c r="G141" s="203">
        <v>44269</v>
      </c>
      <c r="H141" t="s">
        <v>6841</v>
      </c>
      <c r="I141" s="40" t="s">
        <v>6734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6842</v>
      </c>
      <c r="I142" s="40" t="s">
        <v>6734</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6734</v>
      </c>
      <c r="L144" s="40" t="str">
        <f t="shared" si="2"/>
        <v>USD,20210309,243240,244280,241050,242070,1,1,1</v>
      </c>
    </row>
    <row r="145" spans="1:12">
      <c r="A145" s="270">
        <v>239960</v>
      </c>
      <c r="B145" s="270">
        <v>239850</v>
      </c>
      <c r="C145" s="270">
        <v>244610</v>
      </c>
      <c r="D145" s="270">
        <v>243210</v>
      </c>
      <c r="E145">
        <v>3310</v>
      </c>
      <c r="F145" s="137">
        <v>1.38E-2</v>
      </c>
      <c r="G145" s="203">
        <v>44263</v>
      </c>
      <c r="H145" t="s">
        <v>6843</v>
      </c>
      <c r="I145" s="40" t="s">
        <v>6734</v>
      </c>
      <c r="L145" s="40" t="str">
        <f t="shared" si="2"/>
        <v>USD,20210308,239960,244610,239850,243210,1,1,1</v>
      </c>
    </row>
    <row r="146" spans="1:12">
      <c r="A146" s="270">
        <v>242800</v>
      </c>
      <c r="B146" s="270">
        <v>239850</v>
      </c>
      <c r="C146" s="270">
        <v>242810</v>
      </c>
      <c r="D146" s="270">
        <v>239900</v>
      </c>
      <c r="E146">
        <v>2810</v>
      </c>
      <c r="F146" s="137">
        <v>1.17E-2</v>
      </c>
      <c r="G146" s="203">
        <v>44262</v>
      </c>
      <c r="H146" t="s">
        <v>6844</v>
      </c>
      <c r="I146" s="40" t="s">
        <v>6734</v>
      </c>
      <c r="L146" s="40" t="str">
        <f t="shared" si="2"/>
        <v>USD,20210307,242800,242810,239850,239900,1,1,1</v>
      </c>
    </row>
    <row r="147" spans="1:12">
      <c r="A147" s="270">
        <v>246580</v>
      </c>
      <c r="B147" s="270">
        <v>242700</v>
      </c>
      <c r="C147" s="270">
        <v>246770</v>
      </c>
      <c r="D147" s="270">
        <v>242710</v>
      </c>
      <c r="E147">
        <v>3900</v>
      </c>
      <c r="F147" s="137">
        <v>1.61E-2</v>
      </c>
      <c r="G147" s="203">
        <v>44261</v>
      </c>
      <c r="H147" t="s">
        <v>6845</v>
      </c>
      <c r="I147" s="40" t="s">
        <v>6734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6846</v>
      </c>
      <c r="I148" s="40" t="s">
        <v>6734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6847</v>
      </c>
      <c r="I149" s="40" t="s">
        <v>6734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6848</v>
      </c>
      <c r="I150" s="40" t="s">
        <v>6734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6849</v>
      </c>
      <c r="I151" s="40" t="s">
        <v>6734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6850</v>
      </c>
      <c r="I152" s="40" t="s">
        <v>6734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6851</v>
      </c>
      <c r="I153" s="40" t="s">
        <v>6734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6852</v>
      </c>
      <c r="I154" s="40" t="s">
        <v>6734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6853</v>
      </c>
      <c r="I155" s="40" t="s">
        <v>6734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6854</v>
      </c>
      <c r="I156" s="40" t="s">
        <v>6734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6855</v>
      </c>
      <c r="I157" s="40" t="s">
        <v>6734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6856</v>
      </c>
      <c r="I158" s="40" t="s">
        <v>6734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6857</v>
      </c>
      <c r="I159" s="40" t="s">
        <v>6734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6858</v>
      </c>
      <c r="I160" s="40" t="s">
        <v>6734</v>
      </c>
      <c r="L160" s="40" t="str">
        <f t="shared" si="2"/>
        <v>USD,20210217,249780,251850,249740,251750,1,1,1</v>
      </c>
    </row>
    <row r="161" spans="1:12">
      <c r="A161" s="270">
        <v>249820</v>
      </c>
      <c r="B161" s="270">
        <v>249740</v>
      </c>
      <c r="C161" s="270">
        <v>249850</v>
      </c>
      <c r="D161" s="270">
        <v>249740</v>
      </c>
      <c r="E161" t="s">
        <v>6728</v>
      </c>
      <c r="F161" t="s">
        <v>6728</v>
      </c>
      <c r="G161" s="203">
        <v>44243</v>
      </c>
      <c r="H161" t="s">
        <v>6859</v>
      </c>
      <c r="I161" s="40" t="s">
        <v>6734</v>
      </c>
      <c r="L161" s="40" t="str">
        <f t="shared" si="2"/>
        <v>USD,20210216,249820,249850,249740,249740,1,1,1</v>
      </c>
    </row>
    <row r="162" spans="1:12">
      <c r="A162" s="270">
        <v>249780</v>
      </c>
      <c r="B162" s="270">
        <v>249740</v>
      </c>
      <c r="C162" s="270">
        <v>249850</v>
      </c>
      <c r="D162" s="270">
        <v>249740</v>
      </c>
      <c r="E162">
        <v>30</v>
      </c>
      <c r="F162" s="137">
        <v>1E-4</v>
      </c>
      <c r="G162" s="203">
        <v>44242</v>
      </c>
      <c r="H162" t="s">
        <v>6860</v>
      </c>
      <c r="I162" s="40" t="s">
        <v>6734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6861</v>
      </c>
      <c r="I163" s="40" t="s">
        <v>6734</v>
      </c>
      <c r="L163" s="40" t="str">
        <f t="shared" si="2"/>
        <v>USD,20210214,249830,249850,249740,249770,1,1,1</v>
      </c>
    </row>
    <row r="164" spans="1:12">
      <c r="A164" s="270">
        <v>247040</v>
      </c>
      <c r="B164" s="270">
        <v>246940</v>
      </c>
      <c r="C164" s="270">
        <v>249850</v>
      </c>
      <c r="D164" s="270">
        <v>249810</v>
      </c>
      <c r="E164">
        <v>2850</v>
      </c>
      <c r="F164" s="137">
        <v>1.15E-2</v>
      </c>
      <c r="G164" s="203">
        <v>44240</v>
      </c>
      <c r="H164" t="s">
        <v>6862</v>
      </c>
      <c r="I164" s="40" t="s">
        <v>6734</v>
      </c>
      <c r="L164" s="40" t="str">
        <f t="shared" si="2"/>
        <v>USD,20210213,247040,249850,246940,249810,1,1,1</v>
      </c>
    </row>
    <row r="165" spans="1:12">
      <c r="A165" s="270">
        <v>245960</v>
      </c>
      <c r="B165" s="270">
        <v>245940</v>
      </c>
      <c r="C165" s="270">
        <v>247050</v>
      </c>
      <c r="D165" s="270">
        <v>246960</v>
      </c>
      <c r="E165">
        <v>5930</v>
      </c>
      <c r="F165" s="137">
        <v>2.46E-2</v>
      </c>
      <c r="G165" s="203">
        <v>44238</v>
      </c>
      <c r="H165" t="s">
        <v>6863</v>
      </c>
      <c r="I165" s="40" t="s">
        <v>6734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6864</v>
      </c>
      <c r="I166" s="40" t="s">
        <v>6734</v>
      </c>
      <c r="L166" s="40" t="str">
        <f t="shared" si="2"/>
        <v>USD,20210209,238970,241050,238940,241030,1,1,1</v>
      </c>
    </row>
    <row r="167" spans="1:12">
      <c r="A167" s="270">
        <v>237050</v>
      </c>
      <c r="B167" s="270">
        <v>236940</v>
      </c>
      <c r="C167" s="270">
        <v>237050</v>
      </c>
      <c r="D167" s="270">
        <v>236940</v>
      </c>
      <c r="E167">
        <v>20</v>
      </c>
      <c r="F167" s="137">
        <v>1E-4</v>
      </c>
      <c r="G167" s="203">
        <v>44235</v>
      </c>
      <c r="H167" t="s">
        <v>6865</v>
      </c>
      <c r="I167" s="40" t="s">
        <v>6734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6866</v>
      </c>
      <c r="I168" s="40" t="s">
        <v>6734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6867</v>
      </c>
      <c r="I169" s="40" t="s">
        <v>6734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6868</v>
      </c>
      <c r="I170" s="40" t="s">
        <v>6734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6869</v>
      </c>
      <c r="I171" s="40" t="s">
        <v>6734</v>
      </c>
      <c r="L171" s="40" t="str">
        <f t="shared" si="2"/>
        <v>USD,20210203,238680,238750,237640,237660,1,1,1</v>
      </c>
    </row>
    <row r="172" spans="1:12">
      <c r="A172" s="270">
        <v>238650</v>
      </c>
      <c r="B172" s="270">
        <v>238640</v>
      </c>
      <c r="C172" s="270">
        <v>238750</v>
      </c>
      <c r="D172" s="270">
        <v>238710</v>
      </c>
      <c r="E172">
        <v>10</v>
      </c>
      <c r="F172" t="s">
        <v>6728</v>
      </c>
      <c r="G172" s="203">
        <v>44229</v>
      </c>
      <c r="H172" t="s">
        <v>6870</v>
      </c>
      <c r="I172" s="40" t="s">
        <v>6734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6871</v>
      </c>
      <c r="I173" s="40" t="s">
        <v>6734</v>
      </c>
      <c r="L173" s="40" t="str">
        <f t="shared" si="2"/>
        <v>USD,20210201,239170,239170,238640,238720,1,1,1</v>
      </c>
    </row>
    <row r="174" spans="1:12">
      <c r="A174" s="270">
        <v>237180</v>
      </c>
      <c r="B174" s="270">
        <v>237140</v>
      </c>
      <c r="C174" s="270">
        <v>239250</v>
      </c>
      <c r="D174" s="270">
        <v>239210</v>
      </c>
      <c r="E174">
        <v>2040</v>
      </c>
      <c r="F174" s="137">
        <v>8.6E-3</v>
      </c>
      <c r="G174" s="203">
        <v>44227</v>
      </c>
      <c r="H174" t="s">
        <v>6872</v>
      </c>
      <c r="I174" s="40" t="s">
        <v>6734</v>
      </c>
      <c r="L174" s="40" t="str">
        <f t="shared" si="2"/>
        <v>USD,20210131,237180,239250,237140,239210,1,1,1</v>
      </c>
    </row>
    <row r="175" spans="1:12">
      <c r="A175" s="270">
        <v>232050</v>
      </c>
      <c r="B175" s="270">
        <v>232040</v>
      </c>
      <c r="C175" s="270">
        <v>237250</v>
      </c>
      <c r="D175" s="270">
        <v>237170</v>
      </c>
      <c r="E175">
        <v>5060</v>
      </c>
      <c r="F175" s="137">
        <v>2.18E-2</v>
      </c>
      <c r="G175" s="203">
        <v>44226</v>
      </c>
      <c r="H175" t="s">
        <v>6873</v>
      </c>
      <c r="I175" s="40" t="s">
        <v>6734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6874</v>
      </c>
      <c r="I176" s="40" t="s">
        <v>6734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6875</v>
      </c>
      <c r="I177" s="40" t="s">
        <v>6734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6876</v>
      </c>
      <c r="I178" s="40" t="s">
        <v>6734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6877</v>
      </c>
      <c r="I179" s="40" t="s">
        <v>6734</v>
      </c>
      <c r="L179" s="40" t="str">
        <f t="shared" si="2"/>
        <v>USD,20210125,224250,229750,224240,229660,1,1,1</v>
      </c>
    </row>
    <row r="180" spans="1:12">
      <c r="A180" s="270">
        <v>224340</v>
      </c>
      <c r="B180" s="270">
        <v>224240</v>
      </c>
      <c r="C180" s="270">
        <v>224350</v>
      </c>
      <c r="D180" s="270">
        <v>224340</v>
      </c>
      <c r="E180">
        <v>20</v>
      </c>
      <c r="F180" s="137">
        <v>1E-4</v>
      </c>
      <c r="G180" s="203">
        <v>44220</v>
      </c>
      <c r="H180" t="s">
        <v>6878</v>
      </c>
      <c r="I180" s="40" t="s">
        <v>6734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6879</v>
      </c>
      <c r="I181" s="40" t="s">
        <v>6734</v>
      </c>
      <c r="L181" s="40" t="str">
        <f t="shared" si="2"/>
        <v>USD,20210123,226530,226530,224240,224320,1,1,1</v>
      </c>
    </row>
    <row r="182" spans="1:12">
      <c r="A182" s="270">
        <v>226510</v>
      </c>
      <c r="B182" s="270">
        <v>226440</v>
      </c>
      <c r="C182" s="270">
        <v>226550</v>
      </c>
      <c r="D182" s="270">
        <v>226550</v>
      </c>
      <c r="E182">
        <v>970</v>
      </c>
      <c r="F182" s="137">
        <v>4.3E-3</v>
      </c>
      <c r="G182" s="203">
        <v>44217</v>
      </c>
      <c r="H182" t="s">
        <v>6880</v>
      </c>
      <c r="I182" s="40" t="s">
        <v>6734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6881</v>
      </c>
      <c r="I183" s="40" t="s">
        <v>6734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6882</v>
      </c>
      <c r="I184" s="40" t="s">
        <v>6734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6883</v>
      </c>
      <c r="I185" s="40" t="s">
        <v>6734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6884</v>
      </c>
      <c r="I186" s="40" t="s">
        <v>6734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6885</v>
      </c>
      <c r="I187" s="40" t="s">
        <v>6734</v>
      </c>
      <c r="L187" s="40" t="str">
        <f t="shared" si="2"/>
        <v>USD,20210114,242870,242950,239440,239530,1,1,1</v>
      </c>
    </row>
    <row r="188" spans="1:12">
      <c r="A188" s="270">
        <v>248520</v>
      </c>
      <c r="B188" s="270">
        <v>244940</v>
      </c>
      <c r="C188" s="270">
        <v>248550</v>
      </c>
      <c r="D188" s="270">
        <v>244980</v>
      </c>
      <c r="E188">
        <v>3460</v>
      </c>
      <c r="F188" s="137">
        <v>1.41E-2</v>
      </c>
      <c r="G188" s="203">
        <v>44209</v>
      </c>
      <c r="H188" t="s">
        <v>6886</v>
      </c>
      <c r="I188" s="40" t="s">
        <v>6734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6887</v>
      </c>
      <c r="I189" s="40" t="s">
        <v>6734</v>
      </c>
      <c r="L189" s="40" t="str">
        <f t="shared" si="2"/>
        <v>USD,20210112,248540,248550,248440,248440,1,1,1</v>
      </c>
    </row>
    <row r="190" spans="1:12">
      <c r="A190" s="270">
        <v>248450</v>
      </c>
      <c r="B190" s="270">
        <v>248440</v>
      </c>
      <c r="C190" s="270">
        <v>249550</v>
      </c>
      <c r="D190" s="270">
        <v>248490</v>
      </c>
      <c r="E190">
        <v>30</v>
      </c>
      <c r="F190" s="137">
        <v>1E-4</v>
      </c>
      <c r="G190" s="203">
        <v>44207</v>
      </c>
      <c r="H190" t="s">
        <v>6888</v>
      </c>
      <c r="I190" s="40" t="s">
        <v>6734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6889</v>
      </c>
      <c r="I191" s="40" t="s">
        <v>6734</v>
      </c>
      <c r="L191" s="40" t="str">
        <f t="shared" si="2"/>
        <v>USD,20210110,248690,248690,245840,248520,1,1,1</v>
      </c>
    </row>
    <row r="192" spans="1:12">
      <c r="A192" s="270">
        <v>255550</v>
      </c>
      <c r="B192" s="270">
        <v>248640</v>
      </c>
      <c r="C192" s="270">
        <v>255550</v>
      </c>
      <c r="D192" s="270">
        <v>248660</v>
      </c>
      <c r="E192">
        <v>6850</v>
      </c>
      <c r="F192" s="137">
        <v>2.75E-2</v>
      </c>
      <c r="G192" s="203">
        <v>44205</v>
      </c>
      <c r="H192" t="s">
        <v>6890</v>
      </c>
      <c r="I192" s="40" t="s">
        <v>6734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6891</v>
      </c>
      <c r="I193" s="40" t="s">
        <v>6734</v>
      </c>
      <c r="L193" s="40" t="str">
        <f t="shared" si="2"/>
        <v>USD,20210107,257530,257550,255440,255510,1,1,1</v>
      </c>
    </row>
    <row r="194" spans="1:12">
      <c r="A194" s="270">
        <v>259030</v>
      </c>
      <c r="B194" s="270">
        <v>258440</v>
      </c>
      <c r="C194" s="270">
        <v>259050</v>
      </c>
      <c r="D194" s="270">
        <v>258540</v>
      </c>
      <c r="E194">
        <v>480</v>
      </c>
      <c r="F194" s="137">
        <v>1.9E-3</v>
      </c>
      <c r="G194" s="203">
        <v>44202</v>
      </c>
      <c r="H194" t="s">
        <v>6892</v>
      </c>
      <c r="I194" s="40" t="s">
        <v>6734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6893</v>
      </c>
      <c r="I195" s="40" t="s">
        <v>6734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6734</v>
      </c>
      <c r="L196" s="40" t="str">
        <f t="shared" si="2"/>
        <v>USD,20210104,255650,257750,255640,257640,1,1,1</v>
      </c>
    </row>
    <row r="197" spans="1:12">
      <c r="A197" s="270">
        <v>256160</v>
      </c>
      <c r="B197" s="270">
        <v>255640</v>
      </c>
      <c r="C197" s="270">
        <v>256250</v>
      </c>
      <c r="D197" s="270">
        <v>255670</v>
      </c>
      <c r="E197">
        <v>520</v>
      </c>
      <c r="F197" s="137">
        <v>2E-3</v>
      </c>
      <c r="G197" s="203">
        <v>44199</v>
      </c>
      <c r="H197" t="s">
        <v>6894</v>
      </c>
      <c r="I197" s="40" t="s">
        <v>6734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6895</v>
      </c>
      <c r="I198" s="40" t="s">
        <v>6734</v>
      </c>
      <c r="L198" s="40" t="str">
        <f t="shared" si="3"/>
        <v>USD,20210102,256990,257050,256140,256190,1,1,1</v>
      </c>
    </row>
    <row r="199" spans="1:12">
      <c r="A199" s="270">
        <v>257020</v>
      </c>
      <c r="B199" s="270">
        <v>256940</v>
      </c>
      <c r="C199" s="270">
        <v>257050</v>
      </c>
      <c r="D199" s="270">
        <v>257010</v>
      </c>
      <c r="E199">
        <v>30</v>
      </c>
      <c r="F199" s="137">
        <v>1E-4</v>
      </c>
      <c r="G199" s="203">
        <v>44196</v>
      </c>
      <c r="H199" t="s">
        <v>6896</v>
      </c>
      <c r="I199" s="40" t="s">
        <v>6734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6897</v>
      </c>
      <c r="I200" s="40" t="s">
        <v>6734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6898</v>
      </c>
      <c r="I201" s="40" t="s">
        <v>6734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6899</v>
      </c>
      <c r="I202" s="40" t="s">
        <v>6734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6900</v>
      </c>
      <c r="I203" s="40" t="s">
        <v>6734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6901</v>
      </c>
      <c r="I204" s="40" t="s">
        <v>6734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6902</v>
      </c>
      <c r="I205" s="40" t="s">
        <v>6734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6903</v>
      </c>
      <c r="I206" s="40" t="s">
        <v>6734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6904</v>
      </c>
      <c r="I207" s="40" t="s">
        <v>6734</v>
      </c>
      <c r="L207" s="40" t="str">
        <f t="shared" si="3"/>
        <v>USD,20201222,254460,255250,254440,255160,1,1,1</v>
      </c>
    </row>
    <row r="208" spans="1:12">
      <c r="A208" s="270">
        <v>253940</v>
      </c>
      <c r="B208" s="270">
        <v>252940</v>
      </c>
      <c r="C208" s="270">
        <v>254550</v>
      </c>
      <c r="D208" s="270">
        <v>254470</v>
      </c>
      <c r="E208">
        <v>510</v>
      </c>
      <c r="F208" s="137">
        <v>2E-3</v>
      </c>
      <c r="G208" s="203">
        <v>44186</v>
      </c>
      <c r="H208" t="s">
        <v>6905</v>
      </c>
      <c r="I208" s="40" t="s">
        <v>6734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6906</v>
      </c>
      <c r="I210" s="40" t="s">
        <v>6734</v>
      </c>
      <c r="L210" s="40" t="str">
        <f t="shared" si="3"/>
        <v>USD,20201219,257440,257550,254940,254990,1,1,1</v>
      </c>
    </row>
    <row r="211" spans="1:12">
      <c r="A211" s="270">
        <v>258040</v>
      </c>
      <c r="B211" s="270">
        <v>257940</v>
      </c>
      <c r="C211" s="270">
        <v>258050</v>
      </c>
      <c r="D211" s="270">
        <v>258020</v>
      </c>
      <c r="E211">
        <v>10</v>
      </c>
      <c r="F211" t="s">
        <v>6728</v>
      </c>
      <c r="G211" s="203">
        <v>44182</v>
      </c>
      <c r="H211" t="s">
        <v>6907</v>
      </c>
      <c r="I211" s="40" t="s">
        <v>6734</v>
      </c>
      <c r="L211" s="40" t="str">
        <f t="shared" si="3"/>
        <v>USD,20201217,258040,258050,257940,258020,1,1,1</v>
      </c>
    </row>
    <row r="212" spans="1:12">
      <c r="A212" s="270">
        <v>258480</v>
      </c>
      <c r="B212" s="270">
        <v>257940</v>
      </c>
      <c r="C212" s="270">
        <v>259550</v>
      </c>
      <c r="D212" s="270">
        <v>258030</v>
      </c>
      <c r="E212">
        <v>510</v>
      </c>
      <c r="F212" s="137">
        <v>2E-3</v>
      </c>
      <c r="G212" s="203">
        <v>44181</v>
      </c>
      <c r="H212" t="s">
        <v>6908</v>
      </c>
      <c r="I212" s="40" t="s">
        <v>6734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6910</v>
      </c>
      <c r="I213" s="40" t="s">
        <v>6734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6911</v>
      </c>
      <c r="I214" s="40" t="s">
        <v>6734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6912</v>
      </c>
      <c r="I215" s="40" t="s">
        <v>6734</v>
      </c>
      <c r="L215" s="40" t="str">
        <f t="shared" si="3"/>
        <v>USD,20201213,259960,260050,257940,258040,1,1,1</v>
      </c>
    </row>
    <row r="216" spans="1:12">
      <c r="A216" s="270">
        <v>260750</v>
      </c>
      <c r="B216" s="270">
        <v>259940</v>
      </c>
      <c r="C216" s="270">
        <v>260750</v>
      </c>
      <c r="D216" s="270">
        <v>260050</v>
      </c>
      <c r="E216">
        <v>600</v>
      </c>
      <c r="F216" s="137">
        <v>2.3E-3</v>
      </c>
      <c r="G216" s="203">
        <v>44177</v>
      </c>
      <c r="H216" t="s">
        <v>6913</v>
      </c>
      <c r="I216" s="40" t="s">
        <v>6734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6914</v>
      </c>
      <c r="I217" s="40" t="s">
        <v>6734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6915</v>
      </c>
      <c r="I218" s="40" t="s">
        <v>6734</v>
      </c>
      <c r="L218" s="40" t="str">
        <f t="shared" si="3"/>
        <v>USD,20201209,255970,259850,255940,259770,1,1,1</v>
      </c>
    </row>
    <row r="219" spans="1:12">
      <c r="A219" s="270">
        <v>255980</v>
      </c>
      <c r="B219" s="270">
        <v>255940</v>
      </c>
      <c r="C219" s="270">
        <v>256050</v>
      </c>
      <c r="D219" s="270">
        <v>255940</v>
      </c>
      <c r="E219">
        <v>10</v>
      </c>
      <c r="F219" t="s">
        <v>6728</v>
      </c>
      <c r="G219" s="203">
        <v>44173</v>
      </c>
      <c r="H219" t="s">
        <v>6916</v>
      </c>
      <c r="I219" s="40" t="s">
        <v>6734</v>
      </c>
      <c r="L219" s="40" t="str">
        <f t="shared" si="3"/>
        <v>USD,20201208,255980,256050,255940,255940,1,1,1</v>
      </c>
    </row>
    <row r="220" spans="1:12">
      <c r="A220" s="270">
        <v>256010</v>
      </c>
      <c r="B220" s="270">
        <v>255940</v>
      </c>
      <c r="C220" s="270">
        <v>256050</v>
      </c>
      <c r="D220" s="270">
        <v>255950</v>
      </c>
      <c r="E220" t="s">
        <v>6728</v>
      </c>
      <c r="F220" t="s">
        <v>6728</v>
      </c>
      <c r="G220" s="203">
        <v>44172</v>
      </c>
      <c r="H220" t="s">
        <v>6917</v>
      </c>
      <c r="I220" s="40" t="s">
        <v>6734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6918</v>
      </c>
      <c r="I221" s="40" t="s">
        <v>6734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6919</v>
      </c>
      <c r="I222" s="40" t="s">
        <v>6734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6920</v>
      </c>
      <c r="I223" s="40" t="s">
        <v>6734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6921</v>
      </c>
      <c r="I224" s="40" t="s">
        <v>6734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6922</v>
      </c>
      <c r="I225" s="40" t="s">
        <v>6734</v>
      </c>
      <c r="L225" s="40" t="str">
        <f t="shared" si="3"/>
        <v>USD,20201201,250070,256270,245160,256160,1,1,1</v>
      </c>
    </row>
    <row r="226" spans="1:12">
      <c r="A226" s="270">
        <v>245490</v>
      </c>
      <c r="B226" s="270">
        <v>245460</v>
      </c>
      <c r="C226" s="270">
        <v>253050</v>
      </c>
      <c r="D226" s="270">
        <v>250030</v>
      </c>
      <c r="E226">
        <v>4520</v>
      </c>
      <c r="F226" s="137">
        <v>1.84E-2</v>
      </c>
      <c r="G226" s="203">
        <v>44165</v>
      </c>
      <c r="H226" t="s">
        <v>6923</v>
      </c>
      <c r="I226" s="40" t="s">
        <v>6734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6924</v>
      </c>
      <c r="I227" s="40" t="s">
        <v>6734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6925</v>
      </c>
      <c r="I228" s="40" t="s">
        <v>6734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6926</v>
      </c>
      <c r="I229" s="40" t="s">
        <v>6734</v>
      </c>
      <c r="L229" s="40" t="str">
        <f t="shared" si="3"/>
        <v>USD,20201126,248500,248570,247460,247570,1,1,1</v>
      </c>
    </row>
    <row r="230" spans="1:12">
      <c r="A230" s="270">
        <v>250490</v>
      </c>
      <c r="B230" s="270">
        <v>249500</v>
      </c>
      <c r="C230" s="270">
        <v>250570</v>
      </c>
      <c r="D230" s="270">
        <v>249500</v>
      </c>
      <c r="E230">
        <v>960</v>
      </c>
      <c r="F230" s="137">
        <v>3.8E-3</v>
      </c>
      <c r="G230" s="203">
        <v>44160</v>
      </c>
      <c r="H230" t="s">
        <v>6927</v>
      </c>
      <c r="I230" s="40" t="s">
        <v>6734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6928</v>
      </c>
      <c r="I231" s="40" t="s">
        <v>6734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6929</v>
      </c>
      <c r="I232" s="40" t="s">
        <v>6734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6909</v>
      </c>
      <c r="I233" s="40" t="s">
        <v>6734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6930</v>
      </c>
      <c r="I234" s="40" t="s">
        <v>6734</v>
      </c>
      <c r="L234" s="40" t="str">
        <f t="shared" si="3"/>
        <v>USD,20201121,256250,260560,256150,259550,1,1,1</v>
      </c>
    </row>
    <row r="235" spans="1:12">
      <c r="A235" s="270">
        <v>256170</v>
      </c>
      <c r="B235" s="270">
        <v>256150</v>
      </c>
      <c r="C235" s="270">
        <v>256260</v>
      </c>
      <c r="D235" s="270">
        <v>256200</v>
      </c>
      <c r="E235">
        <v>20</v>
      </c>
      <c r="F235" s="137">
        <v>1E-4</v>
      </c>
      <c r="G235" s="203">
        <v>44154</v>
      </c>
      <c r="H235" t="s">
        <v>6931</v>
      </c>
      <c r="I235" s="40" t="s">
        <v>6734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6932</v>
      </c>
      <c r="I236" s="40" t="s">
        <v>6734</v>
      </c>
      <c r="L236" s="40" t="str">
        <f t="shared" si="3"/>
        <v>USD,20201118,259020,259020,256150,256220,1,1,1</v>
      </c>
    </row>
    <row r="237" spans="1:12">
      <c r="A237" s="270">
        <v>258960</v>
      </c>
      <c r="B237" s="270">
        <v>258950</v>
      </c>
      <c r="C237" s="270">
        <v>262060</v>
      </c>
      <c r="D237" s="270">
        <v>258970</v>
      </c>
      <c r="E237">
        <v>10</v>
      </c>
      <c r="F237" t="s">
        <v>6728</v>
      </c>
      <c r="G237" s="203">
        <v>44152</v>
      </c>
      <c r="H237" t="s">
        <v>6933</v>
      </c>
      <c r="I237" s="40" t="s">
        <v>6734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6934</v>
      </c>
      <c r="I238" s="40" t="s">
        <v>6734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6935</v>
      </c>
      <c r="I239" s="40" t="s">
        <v>6734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6936</v>
      </c>
      <c r="I240" s="40" t="s">
        <v>6734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6937</v>
      </c>
      <c r="I241" s="40" t="s">
        <v>6734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6938</v>
      </c>
      <c r="I242" s="40" t="s">
        <v>6734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6939</v>
      </c>
      <c r="I243" s="40" t="s">
        <v>6734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6940</v>
      </c>
      <c r="I244" s="40" t="s">
        <v>6734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6941</v>
      </c>
      <c r="I245" s="40" t="s">
        <v>6734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6942</v>
      </c>
      <c r="I246" s="40" t="s">
        <v>6734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6943</v>
      </c>
      <c r="I247" s="40" t="s">
        <v>6734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6944</v>
      </c>
      <c r="I248" s="40" t="s">
        <v>6734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6945</v>
      </c>
      <c r="I249" s="40" t="s">
        <v>6734</v>
      </c>
      <c r="L249" s="40" t="str">
        <f t="shared" si="3"/>
        <v>USD,20201102,272020,282460,271950,282420,1,1,1</v>
      </c>
    </row>
    <row r="250" spans="1:12">
      <c r="A250" s="270">
        <v>268670</v>
      </c>
      <c r="B250" s="270">
        <v>266950</v>
      </c>
      <c r="C250" s="270">
        <v>272060</v>
      </c>
      <c r="D250" s="270">
        <v>272060</v>
      </c>
      <c r="E250">
        <v>3340</v>
      </c>
      <c r="F250" s="137">
        <v>1.24E-2</v>
      </c>
      <c r="G250" s="203">
        <v>44136</v>
      </c>
      <c r="H250" t="s">
        <v>6946</v>
      </c>
      <c r="I250" s="40" t="s">
        <v>6734</v>
      </c>
      <c r="L250" s="40" t="str">
        <f t="shared" si="3"/>
        <v>USD,20201101,268670,272060,266950,272060,1,1,1</v>
      </c>
    </row>
    <row r="251" spans="1:12">
      <c r="A251" s="270">
        <v>277260</v>
      </c>
      <c r="B251" s="270">
        <v>268650</v>
      </c>
      <c r="C251" s="270">
        <v>277260</v>
      </c>
      <c r="D251" s="270">
        <v>268720</v>
      </c>
      <c r="E251">
        <v>8780</v>
      </c>
      <c r="F251" s="137">
        <v>3.27E-2</v>
      </c>
      <c r="G251" s="203">
        <v>44135</v>
      </c>
      <c r="H251" t="s">
        <v>6947</v>
      </c>
      <c r="I251" s="40" t="s">
        <v>6734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6948</v>
      </c>
      <c r="I252" s="40" t="s">
        <v>6734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6949</v>
      </c>
      <c r="I253" s="40" t="s">
        <v>6734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6950</v>
      </c>
      <c r="I254" s="40" t="s">
        <v>6734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6951</v>
      </c>
      <c r="I255" s="40" t="s">
        <v>6734</v>
      </c>
      <c r="L255" s="40" t="str">
        <f t="shared" si="3"/>
        <v>USD,20201026,289960,289990,279750,279860,1,1,1</v>
      </c>
    </row>
    <row r="256" spans="1:12">
      <c r="A256" s="270">
        <v>293820</v>
      </c>
      <c r="B256" s="270">
        <v>289950</v>
      </c>
      <c r="C256" s="270">
        <v>293860</v>
      </c>
      <c r="D256" s="270">
        <v>290000</v>
      </c>
      <c r="E256">
        <v>3750</v>
      </c>
      <c r="F256" s="137">
        <v>1.29E-2</v>
      </c>
      <c r="G256" s="203">
        <v>44128</v>
      </c>
      <c r="H256" t="s">
        <v>6952</v>
      </c>
      <c r="I256" s="40" t="s">
        <v>6734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6953</v>
      </c>
      <c r="I257" s="40" t="s">
        <v>6734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6954</v>
      </c>
      <c r="I258" s="40" t="s">
        <v>6734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6955</v>
      </c>
      <c r="I259" s="40" t="s">
        <v>6734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6956</v>
      </c>
      <c r="I260" s="40" t="s">
        <v>6734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6957</v>
      </c>
      <c r="I261" s="40" t="s">
        <v>6734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6958</v>
      </c>
      <c r="I262" s="40" t="s">
        <v>6734</v>
      </c>
      <c r="L262" s="40" t="str">
        <f t="shared" si="4"/>
        <v>USD,20201015,317000,317060,316950,317040,1,1,1</v>
      </c>
    </row>
    <row r="263" spans="1:12">
      <c r="A263" s="270">
        <v>312990</v>
      </c>
      <c r="B263" s="270">
        <v>312950</v>
      </c>
      <c r="C263" s="270">
        <v>315860</v>
      </c>
      <c r="D263" s="270">
        <v>315000</v>
      </c>
      <c r="E263">
        <v>1980</v>
      </c>
      <c r="F263" s="137">
        <v>6.3E-3</v>
      </c>
      <c r="G263" s="203">
        <v>44118</v>
      </c>
      <c r="H263" t="s">
        <v>6959</v>
      </c>
      <c r="I263" s="40" t="s">
        <v>6734</v>
      </c>
      <c r="L263" s="40" t="str">
        <f t="shared" si="4"/>
        <v>USD,20201014,312990,315860,312950,315000,1,1,1</v>
      </c>
    </row>
    <row r="264" spans="1:12">
      <c r="A264" s="270">
        <v>304040</v>
      </c>
      <c r="B264" s="270">
        <v>303950</v>
      </c>
      <c r="C264" s="270">
        <v>315060</v>
      </c>
      <c r="D264" s="270">
        <v>313020</v>
      </c>
      <c r="E264">
        <v>9060</v>
      </c>
      <c r="F264" s="137">
        <v>2.98E-2</v>
      </c>
      <c r="G264" s="203">
        <v>44117</v>
      </c>
      <c r="H264" t="s">
        <v>6960</v>
      </c>
      <c r="I264" s="40" t="s">
        <v>6734</v>
      </c>
      <c r="L264" s="40" t="str">
        <f t="shared" si="4"/>
        <v>USD,20201013,304040,315060,303950,313020,1,1,1</v>
      </c>
    </row>
    <row r="265" spans="1:12">
      <c r="A265" s="270">
        <v>311520</v>
      </c>
      <c r="B265" s="270">
        <v>301950</v>
      </c>
      <c r="C265" s="270">
        <v>311560</v>
      </c>
      <c r="D265" s="270">
        <v>303960</v>
      </c>
      <c r="E265">
        <v>7490</v>
      </c>
      <c r="F265" s="137">
        <v>2.46E-2</v>
      </c>
      <c r="G265" s="203">
        <v>44116</v>
      </c>
      <c r="H265" t="s">
        <v>6961</v>
      </c>
      <c r="I265" s="40" t="s">
        <v>6734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6962</v>
      </c>
      <c r="I266" s="40" t="s">
        <v>6734</v>
      </c>
      <c r="L266" s="40" t="str">
        <f t="shared" si="4"/>
        <v>USD,20201011,299480,311560,299450,311450,1,1,1</v>
      </c>
    </row>
    <row r="267" spans="1:12">
      <c r="A267" s="270">
        <v>291970</v>
      </c>
      <c r="B267" s="270">
        <v>291950</v>
      </c>
      <c r="C267" s="270">
        <v>299560</v>
      </c>
      <c r="D267" s="270">
        <v>299560</v>
      </c>
      <c r="E267">
        <v>7540</v>
      </c>
      <c r="F267" s="137">
        <v>2.58E-2</v>
      </c>
      <c r="G267" s="203">
        <v>44114</v>
      </c>
      <c r="H267" t="s">
        <v>6963</v>
      </c>
      <c r="I267" s="40" t="s">
        <v>6734</v>
      </c>
      <c r="L267" s="40" t="str">
        <f t="shared" si="4"/>
        <v>USD,20201010,291970,299560,291950,299560,1,1,1</v>
      </c>
    </row>
    <row r="268" spans="1:12">
      <c r="A268" s="270">
        <v>291990</v>
      </c>
      <c r="B268" s="270">
        <v>291950</v>
      </c>
      <c r="C268" s="270">
        <v>292060</v>
      </c>
      <c r="D268" s="270">
        <v>292020</v>
      </c>
      <c r="E268">
        <v>20</v>
      </c>
      <c r="F268" s="137">
        <v>1E-4</v>
      </c>
      <c r="G268" s="203">
        <v>44111</v>
      </c>
      <c r="H268" t="s">
        <v>6964</v>
      </c>
      <c r="I268" s="40" t="s">
        <v>6734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6965</v>
      </c>
      <c r="I269" s="40" t="s">
        <v>6734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6966</v>
      </c>
      <c r="I270" s="40" t="s">
        <v>6734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6967</v>
      </c>
      <c r="I271" s="40" t="s">
        <v>6734</v>
      </c>
      <c r="L271" s="40" t="str">
        <f t="shared" si="4"/>
        <v>USD,20201004,284550,284560,269950,269950,1,1,1</v>
      </c>
    </row>
    <row r="272" spans="1:12">
      <c r="A272" s="270">
        <v>289030</v>
      </c>
      <c r="B272" s="270">
        <v>284450</v>
      </c>
      <c r="C272" s="270">
        <v>289060</v>
      </c>
      <c r="D272" s="270">
        <v>284490</v>
      </c>
      <c r="E272">
        <v>4550</v>
      </c>
      <c r="F272" s="137">
        <v>1.6E-2</v>
      </c>
      <c r="G272" s="203">
        <v>44107</v>
      </c>
      <c r="H272" t="s">
        <v>6968</v>
      </c>
      <c r="I272" s="40" t="s">
        <v>6734</v>
      </c>
      <c r="L272" s="40" t="str">
        <f t="shared" si="4"/>
        <v>USD,20201003,289030,289060,284450,284490,1,1,1</v>
      </c>
    </row>
    <row r="273" spans="1:12">
      <c r="A273" s="270">
        <v>287990</v>
      </c>
      <c r="B273" s="270">
        <v>287990</v>
      </c>
      <c r="C273" s="270">
        <v>289060</v>
      </c>
      <c r="D273" s="270">
        <v>289040</v>
      </c>
      <c r="E273">
        <v>1520</v>
      </c>
      <c r="F273" s="137">
        <v>5.3E-3</v>
      </c>
      <c r="G273" s="203">
        <v>44105</v>
      </c>
      <c r="H273" t="s">
        <v>6970</v>
      </c>
      <c r="I273" s="40" t="s">
        <v>6734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6971</v>
      </c>
      <c r="I274" s="40" t="s">
        <v>6734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6972</v>
      </c>
      <c r="I275" s="40" t="s">
        <v>6734</v>
      </c>
      <c r="L275" s="40" t="str">
        <f t="shared" si="4"/>
        <v>USD,20200929,289450,289560,284950,285020,1,1,1</v>
      </c>
    </row>
    <row r="276" spans="1:12">
      <c r="A276" s="270">
        <v>287060</v>
      </c>
      <c r="B276" s="270">
        <v>286950</v>
      </c>
      <c r="C276" s="270">
        <v>289560</v>
      </c>
      <c r="D276" s="270">
        <v>289470</v>
      </c>
      <c r="E276">
        <v>2470</v>
      </c>
      <c r="F276" s="137">
        <v>8.6E-3</v>
      </c>
      <c r="G276" s="203">
        <v>44102</v>
      </c>
      <c r="H276" t="s">
        <v>6973</v>
      </c>
      <c r="I276" s="40" t="s">
        <v>6734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6974</v>
      </c>
      <c r="I277" s="40" t="s">
        <v>6734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6975</v>
      </c>
      <c r="I278" s="40" t="s">
        <v>6734</v>
      </c>
      <c r="L278" s="40" t="str">
        <f t="shared" si="4"/>
        <v>USD,20200926,278030,287560,277950,285060,1,1,1</v>
      </c>
    </row>
    <row r="279" spans="1:12">
      <c r="A279" s="270">
        <v>278000</v>
      </c>
      <c r="B279" s="270">
        <v>277950</v>
      </c>
      <c r="C279" s="270">
        <v>278060</v>
      </c>
      <c r="D279" s="270">
        <v>277970</v>
      </c>
      <c r="E279">
        <v>10</v>
      </c>
      <c r="F279" t="s">
        <v>6728</v>
      </c>
      <c r="G279" s="203">
        <v>44098</v>
      </c>
      <c r="H279" t="s">
        <v>6976</v>
      </c>
      <c r="I279" s="40" t="s">
        <v>6734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6977</v>
      </c>
      <c r="I280" s="40" t="s">
        <v>6734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6969</v>
      </c>
      <c r="I281" s="40" t="s">
        <v>6734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6978</v>
      </c>
      <c r="I282" s="40" t="s">
        <v>6734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6979</v>
      </c>
      <c r="I283" s="40" t="s">
        <v>6734</v>
      </c>
      <c r="L283" s="40" t="str">
        <f t="shared" si="4"/>
        <v>USD,20200920,264500,273060,264450,272980,1,1,1</v>
      </c>
    </row>
    <row r="284" spans="1:12">
      <c r="A284" s="270">
        <v>267990</v>
      </c>
      <c r="B284" s="270">
        <v>264450</v>
      </c>
      <c r="C284" s="270">
        <v>268060</v>
      </c>
      <c r="D284" s="270">
        <v>264480</v>
      </c>
      <c r="E284">
        <v>3490</v>
      </c>
      <c r="F284" s="137">
        <v>1.32E-2</v>
      </c>
      <c r="G284" s="203">
        <v>44093</v>
      </c>
      <c r="H284" t="s">
        <v>6980</v>
      </c>
      <c r="I284" s="40" t="s">
        <v>6734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6981</v>
      </c>
      <c r="I285" s="40" t="s">
        <v>6734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6982</v>
      </c>
      <c r="I286" s="40" t="s">
        <v>6734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6983</v>
      </c>
      <c r="I287" s="40" t="s">
        <v>6734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6984</v>
      </c>
      <c r="I289" s="40" t="s">
        <v>6734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6985</v>
      </c>
      <c r="I290" s="40" t="s">
        <v>6734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6986</v>
      </c>
      <c r="I291" s="40" t="s">
        <v>6734</v>
      </c>
      <c r="L291" s="40" t="str">
        <f t="shared" si="4"/>
        <v>USD,20200910,227910,228020,227910,228000,1,1,1</v>
      </c>
    </row>
    <row r="292" spans="1:12">
      <c r="A292" s="270">
        <v>227460</v>
      </c>
      <c r="B292" s="270">
        <v>227410</v>
      </c>
      <c r="C292" s="270">
        <v>227520</v>
      </c>
      <c r="D292" s="270">
        <v>227490</v>
      </c>
      <c r="E292">
        <v>30</v>
      </c>
      <c r="F292" s="137">
        <v>1E-4</v>
      </c>
      <c r="G292" s="203">
        <v>44083</v>
      </c>
      <c r="H292" t="s">
        <v>6987</v>
      </c>
      <c r="I292" s="40" t="s">
        <v>6734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6988</v>
      </c>
      <c r="I293" s="40" t="s">
        <v>6734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6989</v>
      </c>
      <c r="I294" s="40" t="s">
        <v>6734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6990</v>
      </c>
      <c r="I295" s="40" t="s">
        <v>6734</v>
      </c>
      <c r="L295" s="40" t="str">
        <f t="shared" si="4"/>
        <v>USD,20200906,224450,226020,224410,226020,1,1,1</v>
      </c>
    </row>
    <row r="296" spans="1:12">
      <c r="A296" s="270">
        <v>224450</v>
      </c>
      <c r="B296" s="270">
        <v>224410</v>
      </c>
      <c r="C296" s="270">
        <v>224520</v>
      </c>
      <c r="D296" s="270">
        <v>224520</v>
      </c>
      <c r="E296" t="s">
        <v>6728</v>
      </c>
      <c r="F296" t="s">
        <v>6728</v>
      </c>
      <c r="G296" s="203">
        <v>44079</v>
      </c>
      <c r="H296" t="s">
        <v>6991</v>
      </c>
      <c r="I296" s="40" t="s">
        <v>6734</v>
      </c>
      <c r="L296" s="40" t="str">
        <f t="shared" si="4"/>
        <v>USD,20200905,224450,224520,224410,224520,1,1,1</v>
      </c>
    </row>
    <row r="297" spans="1:12">
      <c r="A297" s="270">
        <v>225020</v>
      </c>
      <c r="B297" s="270">
        <v>224410</v>
      </c>
      <c r="C297" s="270">
        <v>225020</v>
      </c>
      <c r="D297" s="270">
        <v>224520</v>
      </c>
      <c r="E297">
        <v>2440</v>
      </c>
      <c r="F297" s="137">
        <v>1.09E-2</v>
      </c>
      <c r="G297" s="203">
        <v>44077</v>
      </c>
      <c r="H297" t="s">
        <v>6992</v>
      </c>
      <c r="I297" s="40" t="s">
        <v>6734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6993</v>
      </c>
      <c r="I298" s="40" t="s">
        <v>6734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6994</v>
      </c>
      <c r="I299" s="40" t="s">
        <v>6734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6995</v>
      </c>
      <c r="I300" s="40" t="s">
        <v>6734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6996</v>
      </c>
      <c r="I301" s="40" t="s">
        <v>6734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6997</v>
      </c>
      <c r="I302" s="40" t="s">
        <v>6734</v>
      </c>
      <c r="L302" s="40" t="str">
        <f t="shared" si="4"/>
        <v>USD,20200827,231020,231020,230910,231020,1,1,1</v>
      </c>
    </row>
    <row r="303" spans="1:12">
      <c r="A303" s="270">
        <v>224710</v>
      </c>
      <c r="B303" s="270">
        <v>224710</v>
      </c>
      <c r="C303" s="270">
        <v>230020</v>
      </c>
      <c r="D303" s="270">
        <v>229960</v>
      </c>
      <c r="E303">
        <v>5170</v>
      </c>
      <c r="F303" s="137">
        <v>2.3E-2</v>
      </c>
      <c r="G303" s="203">
        <v>44069</v>
      </c>
      <c r="H303" t="s">
        <v>6998</v>
      </c>
      <c r="I303" s="40" t="s">
        <v>6734</v>
      </c>
      <c r="L303" s="40" t="str">
        <f t="shared" si="4"/>
        <v>USD,20200826,224710,230020,224710,229960,1,1,1</v>
      </c>
    </row>
    <row r="304" spans="1:12">
      <c r="A304" s="270">
        <v>224790</v>
      </c>
      <c r="B304" s="270">
        <v>224710</v>
      </c>
      <c r="C304" s="270">
        <v>224820</v>
      </c>
      <c r="D304" s="270">
        <v>224790</v>
      </c>
      <c r="E304">
        <v>30</v>
      </c>
      <c r="F304" s="137">
        <v>1E-4</v>
      </c>
      <c r="G304" s="203">
        <v>44068</v>
      </c>
      <c r="H304" t="s">
        <v>6999</v>
      </c>
      <c r="I304" s="40" t="s">
        <v>6734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7000</v>
      </c>
      <c r="I305" s="40" t="s">
        <v>6734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7001</v>
      </c>
      <c r="I306" s="40" t="s">
        <v>6734</v>
      </c>
      <c r="L306" s="40" t="str">
        <f t="shared" si="4"/>
        <v>USD,20200823,224940,225020,224910,224970,1,1,1</v>
      </c>
    </row>
    <row r="307" spans="1:12">
      <c r="A307" s="270">
        <v>224970</v>
      </c>
      <c r="B307" s="270">
        <v>224910</v>
      </c>
      <c r="C307" s="270">
        <v>225020</v>
      </c>
      <c r="D307" s="270">
        <v>225020</v>
      </c>
      <c r="E307" t="s">
        <v>6728</v>
      </c>
      <c r="F307" t="s">
        <v>6728</v>
      </c>
      <c r="G307" s="203">
        <v>44065</v>
      </c>
      <c r="H307" t="s">
        <v>7002</v>
      </c>
      <c r="I307" s="40" t="s">
        <v>6734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7003</v>
      </c>
      <c r="I308" s="40" t="s">
        <v>6734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7004</v>
      </c>
      <c r="I309" s="40" t="s">
        <v>6734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7005</v>
      </c>
      <c r="I310" s="40" t="s">
        <v>6734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7006</v>
      </c>
      <c r="I311" s="40" t="s">
        <v>6734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7007</v>
      </c>
      <c r="I312" s="40" t="s">
        <v>6734</v>
      </c>
      <c r="L312" s="40" t="str">
        <f t="shared" si="4"/>
        <v>USD,20200816,218970,219020,218910,219020,1,1,1</v>
      </c>
    </row>
    <row r="313" spans="1:12">
      <c r="A313" s="270">
        <v>220520</v>
      </c>
      <c r="B313" s="270">
        <v>220410</v>
      </c>
      <c r="C313" s="270">
        <v>220520</v>
      </c>
      <c r="D313" s="270">
        <v>220520</v>
      </c>
      <c r="E313">
        <v>20</v>
      </c>
      <c r="F313" s="137">
        <v>1E-4</v>
      </c>
      <c r="G313" s="203">
        <v>44058</v>
      </c>
      <c r="H313" t="s">
        <v>7008</v>
      </c>
      <c r="I313" s="40" t="s">
        <v>6734</v>
      </c>
      <c r="L313" s="40" t="str">
        <f t="shared" si="4"/>
        <v>USD,20200815,220520,220520,220410,220520,1,1,1</v>
      </c>
    </row>
    <row r="314" spans="1:12">
      <c r="A314" s="270">
        <v>219520</v>
      </c>
      <c r="B314" s="270">
        <v>219410</v>
      </c>
      <c r="C314" s="270">
        <v>220520</v>
      </c>
      <c r="D314" s="270">
        <v>220500</v>
      </c>
      <c r="E314">
        <v>2480</v>
      </c>
      <c r="F314" s="137">
        <v>1.14E-2</v>
      </c>
      <c r="G314" s="203">
        <v>44056</v>
      </c>
      <c r="H314" t="s">
        <v>7009</v>
      </c>
      <c r="I314" s="40" t="s">
        <v>6734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7010</v>
      </c>
      <c r="I315" s="40" t="s">
        <v>6734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7011</v>
      </c>
      <c r="I316" s="40" t="s">
        <v>6734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7012</v>
      </c>
      <c r="I317" s="40" t="s">
        <v>6734</v>
      </c>
      <c r="L317" s="40" t="str">
        <f t="shared" si="4"/>
        <v>USD,20200810,217960,218020,207910,209910,1,1,1</v>
      </c>
    </row>
    <row r="318" spans="1:12">
      <c r="A318" s="270">
        <v>229980</v>
      </c>
      <c r="B318" s="270">
        <v>217910</v>
      </c>
      <c r="C318" s="270">
        <v>230020</v>
      </c>
      <c r="D318" s="270">
        <v>218020</v>
      </c>
      <c r="E318">
        <v>12000</v>
      </c>
      <c r="F318" s="137">
        <v>5.5E-2</v>
      </c>
      <c r="G318" s="203">
        <v>44052</v>
      </c>
      <c r="H318" t="s">
        <v>7013</v>
      </c>
      <c r="I318" s="40" t="s">
        <v>6734</v>
      </c>
      <c r="L318" s="40" t="str">
        <f t="shared" si="4"/>
        <v>USD,20200809,229980,230020,217910,218020,1,1,1</v>
      </c>
    </row>
    <row r="319" spans="1:12">
      <c r="A319" s="270">
        <v>229970</v>
      </c>
      <c r="B319" s="270">
        <v>229910</v>
      </c>
      <c r="C319" s="270">
        <v>230020</v>
      </c>
      <c r="D319" s="270">
        <v>230020</v>
      </c>
      <c r="E319">
        <v>3000</v>
      </c>
      <c r="F319" s="137">
        <v>1.32E-2</v>
      </c>
      <c r="G319" s="203">
        <v>44049</v>
      </c>
      <c r="H319" t="s">
        <v>7014</v>
      </c>
      <c r="I319" s="40" t="s">
        <v>6734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7015</v>
      </c>
      <c r="I321" s="40" t="s">
        <v>6734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7016</v>
      </c>
      <c r="I322" s="40" t="s">
        <v>6734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7017</v>
      </c>
      <c r="I323" s="40" t="s">
        <v>6734</v>
      </c>
      <c r="L323" s="40" t="str">
        <f t="shared" si="4"/>
        <v>USD,20200802,212940,217020,212910,217020,1,1,1</v>
      </c>
    </row>
    <row r="324" spans="1:12">
      <c r="A324" s="270">
        <v>207940</v>
      </c>
      <c r="B324" s="270">
        <v>207910</v>
      </c>
      <c r="C324" s="270">
        <v>213020</v>
      </c>
      <c r="D324" s="270">
        <v>213020</v>
      </c>
      <c r="E324">
        <v>5000</v>
      </c>
      <c r="F324" s="137">
        <v>2.4E-2</v>
      </c>
      <c r="G324" s="203">
        <v>44044</v>
      </c>
      <c r="H324" t="s">
        <v>7018</v>
      </c>
      <c r="I324" s="40" t="s">
        <v>6734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7019</v>
      </c>
      <c r="I325" s="40" t="s">
        <v>6734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7020</v>
      </c>
      <c r="I326" s="40" t="s">
        <v>6734</v>
      </c>
      <c r="L326" s="40" t="str">
        <f t="shared" si="5"/>
        <v>USD,20200729,204930,205020,204910,204990,1,1,1</v>
      </c>
    </row>
    <row r="327" spans="1:12">
      <c r="A327" s="270">
        <v>205020</v>
      </c>
      <c r="B327" s="270">
        <v>204910</v>
      </c>
      <c r="C327" s="270">
        <v>205020</v>
      </c>
      <c r="D327" s="270">
        <v>204920</v>
      </c>
      <c r="E327">
        <v>10</v>
      </c>
      <c r="F327" t="s">
        <v>6728</v>
      </c>
      <c r="G327" s="203">
        <v>44040</v>
      </c>
      <c r="H327" t="s">
        <v>7021</v>
      </c>
      <c r="I327" s="40" t="s">
        <v>6734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7022</v>
      </c>
      <c r="I328" s="40" t="s">
        <v>6734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7023</v>
      </c>
      <c r="I329" s="40" t="s">
        <v>6734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7024</v>
      </c>
      <c r="I330" s="40" t="s">
        <v>6734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7025</v>
      </c>
      <c r="I331" s="40" t="s">
        <v>6734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7026</v>
      </c>
      <c r="I332" s="40" t="s">
        <v>6734</v>
      </c>
      <c r="L332" s="40" t="str">
        <f t="shared" si="5"/>
        <v>USD,20200722,204430,204520,203410,203430,1,1,1</v>
      </c>
    </row>
    <row r="333" spans="1:12">
      <c r="A333" s="270">
        <v>225920</v>
      </c>
      <c r="B333" s="270">
        <v>204410</v>
      </c>
      <c r="C333" s="270">
        <v>226020</v>
      </c>
      <c r="D333" s="270">
        <v>204520</v>
      </c>
      <c r="E333">
        <v>21500</v>
      </c>
      <c r="F333" s="137">
        <v>0.1051</v>
      </c>
      <c r="G333" s="203">
        <v>44033</v>
      </c>
      <c r="H333" t="s">
        <v>7027</v>
      </c>
      <c r="I333" s="40" t="s">
        <v>6734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67" zoomScale="85" zoomScaleNormal="85" workbookViewId="0">
      <selection activeCell="D157" sqref="D15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7030</v>
      </c>
    </row>
    <row r="169" spans="4:11">
      <c r="D169" s="18">
        <v>-2500000</v>
      </c>
      <c r="E169" s="235" t="s">
        <v>7031</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3"/>
  <sheetViews>
    <sheetView topLeftCell="G26" zoomScale="85" zoomScaleNormal="85" workbookViewId="0">
      <selection activeCell="L41" activeCellId="4" sqref="L49 L51 L54 L55 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1092</v>
      </c>
      <c r="T20" s="166" t="s">
        <v>4281</v>
      </c>
      <c r="U20" s="166">
        <v>192.1</v>
      </c>
      <c r="V20" s="166">
        <f t="shared" ref="V20:V51" si="6">U20*(1+$R$111+$Q$15*S20/36500)</f>
        <v>355.94182684931508</v>
      </c>
      <c r="W20" s="32">
        <f t="shared" ref="W20:W26" si="7">V20*(1+$W$19/100)</f>
        <v>363.06066338630137</v>
      </c>
      <c r="X20" s="32">
        <f t="shared" ref="X20:X26" si="8">V20*(1+$X$19/100)</f>
        <v>370.17949992328772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1033</v>
      </c>
      <c r="T21" s="19" t="s">
        <v>4425</v>
      </c>
      <c r="U21" s="166">
        <v>192.2</v>
      </c>
      <c r="V21" s="166">
        <f t="shared" si="6"/>
        <v>347.42809205479449</v>
      </c>
      <c r="W21" s="32">
        <f t="shared" si="7"/>
        <v>354.3766538958904</v>
      </c>
      <c r="X21" s="32">
        <f t="shared" si="8"/>
        <v>361.32521573698631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6383881694.7007151</v>
      </c>
      <c r="M22" s="166" t="s">
        <v>4273</v>
      </c>
      <c r="N22" s="111">
        <f t="shared" si="9"/>
        <v>3520291720</v>
      </c>
      <c r="O22" s="97">
        <v>2569556</v>
      </c>
      <c r="P22" s="183">
        <f>P48</f>
        <v>1370</v>
      </c>
      <c r="Q22" s="167">
        <v>1614398</v>
      </c>
      <c r="R22" s="166" t="s">
        <v>4395</v>
      </c>
      <c r="S22" s="166">
        <f>S21-3</f>
        <v>1030</v>
      </c>
      <c r="T22" s="19" t="s">
        <v>5603</v>
      </c>
      <c r="U22" s="166">
        <v>184.6</v>
      </c>
      <c r="V22" s="166">
        <f t="shared" si="6"/>
        <v>333.26520767123287</v>
      </c>
      <c r="W22" s="32">
        <f t="shared" si="7"/>
        <v>339.93051182465751</v>
      </c>
      <c r="X22" s="32">
        <f t="shared" si="8"/>
        <v>346.59581597808221</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176201740</v>
      </c>
      <c r="O23" s="97">
        <v>123218</v>
      </c>
      <c r="P23" s="183">
        <f>P51</f>
        <v>1430</v>
      </c>
      <c r="Q23" s="167">
        <v>133576</v>
      </c>
      <c r="R23" s="166" t="s">
        <v>4462</v>
      </c>
      <c r="S23" s="194">
        <f>S22-22</f>
        <v>1008</v>
      </c>
      <c r="T23" s="166" t="s">
        <v>4463</v>
      </c>
      <c r="U23" s="166">
        <v>166.2</v>
      </c>
      <c r="V23" s="166">
        <f t="shared" si="6"/>
        <v>297.24209753424657</v>
      </c>
      <c r="W23" s="32">
        <f t="shared" si="7"/>
        <v>303.18693948493149</v>
      </c>
      <c r="X23" s="32">
        <f t="shared" si="8"/>
        <v>309.13178143561646</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6361074529.7007151</v>
      </c>
      <c r="G24" s="93">
        <f t="shared" si="0"/>
        <v>-6080768184.3187761</v>
      </c>
      <c r="H24" s="11"/>
      <c r="I24" s="94"/>
      <c r="J24" s="94"/>
      <c r="K24" s="206"/>
      <c r="L24" s="115"/>
      <c r="M24" s="206" t="s">
        <v>5878</v>
      </c>
      <c r="N24" s="111">
        <f t="shared" si="9"/>
        <v>0</v>
      </c>
      <c r="O24" s="97">
        <v>0</v>
      </c>
      <c r="P24" s="183">
        <f>P49</f>
        <v>3000</v>
      </c>
      <c r="Q24" s="167">
        <v>220803</v>
      </c>
      <c r="R24" s="166" t="s">
        <v>4205</v>
      </c>
      <c r="S24" s="194">
        <f>S23-1</f>
        <v>1007</v>
      </c>
      <c r="T24" s="166" t="s">
        <v>4469</v>
      </c>
      <c r="U24" s="166">
        <v>166</v>
      </c>
      <c r="V24" s="166">
        <f t="shared" si="6"/>
        <v>296.75706301369866</v>
      </c>
      <c r="W24" s="32">
        <f t="shared" si="7"/>
        <v>302.69220427397261</v>
      </c>
      <c r="X24" s="32">
        <f t="shared" si="8"/>
        <v>308.62734553424661</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1005</v>
      </c>
      <c r="T25" s="166" t="s">
        <v>4476</v>
      </c>
      <c r="U25" s="166">
        <v>160.19999999999999</v>
      </c>
      <c r="V25" s="166">
        <f t="shared" si="6"/>
        <v>286.14265643835614</v>
      </c>
      <c r="W25" s="32">
        <f t="shared" si="7"/>
        <v>291.8655095671233</v>
      </c>
      <c r="X25" s="32">
        <f t="shared" si="8"/>
        <v>297.5883626958904</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977</v>
      </c>
      <c r="T26" s="166" t="s">
        <v>4550</v>
      </c>
      <c r="U26" s="166">
        <v>172.2</v>
      </c>
      <c r="V26" s="166">
        <f t="shared" si="6"/>
        <v>303.8778016438356</v>
      </c>
      <c r="W26" s="32">
        <f t="shared" si="7"/>
        <v>309.95535767671231</v>
      </c>
      <c r="X26" s="32">
        <f t="shared" si="8"/>
        <v>316.03291370958902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944</v>
      </c>
      <c r="T27" s="206" t="s">
        <v>4647</v>
      </c>
      <c r="U27" s="206">
        <v>168.8</v>
      </c>
      <c r="V27" s="206">
        <f t="shared" si="6"/>
        <v>293.60470794520552</v>
      </c>
      <c r="W27" s="32">
        <f t="shared" ref="W27:W30" si="13">V27*(1+$W$19/100)</f>
        <v>299.47680210410965</v>
      </c>
      <c r="X27" s="32">
        <f t="shared" ref="X27:X30" si="14">V27*(1+$X$19/100)</f>
        <v>305.34889626301373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868</v>
      </c>
      <c r="T28" s="206" t="s">
        <v>4853</v>
      </c>
      <c r="U28" s="206">
        <v>218.5</v>
      </c>
      <c r="V28" s="206">
        <f t="shared" si="6"/>
        <v>367.31226849315073</v>
      </c>
      <c r="W28" s="32">
        <f t="shared" si="13"/>
        <v>374.65851386301375</v>
      </c>
      <c r="X28" s="32">
        <f t="shared" si="14"/>
        <v>382.00475923287678</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865</v>
      </c>
      <c r="T29" s="206" t="s">
        <v>4859</v>
      </c>
      <c r="U29" s="206">
        <v>197.1</v>
      </c>
      <c r="V29" s="206">
        <f t="shared" si="6"/>
        <v>330.88391999999999</v>
      </c>
      <c r="W29" s="32">
        <f t="shared" si="13"/>
        <v>337.50159839999998</v>
      </c>
      <c r="X29" s="32">
        <f t="shared" si="14"/>
        <v>344.11927680000002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38409800</v>
      </c>
      <c r="O30" s="67">
        <v>26860</v>
      </c>
      <c r="P30" s="97">
        <f>P51</f>
        <v>1430</v>
      </c>
      <c r="Q30" s="167">
        <v>7046042.5001907032</v>
      </c>
      <c r="R30" s="206" t="s">
        <v>4866</v>
      </c>
      <c r="S30" s="194">
        <f>S29-5</f>
        <v>860</v>
      </c>
      <c r="T30" s="206" t="s">
        <v>5568</v>
      </c>
      <c r="U30" s="206">
        <v>194.4</v>
      </c>
      <c r="V30" s="206">
        <f t="shared" si="6"/>
        <v>325.60561972602744</v>
      </c>
      <c r="W30" s="32">
        <f t="shared" si="13"/>
        <v>332.117732120548</v>
      </c>
      <c r="X30" s="32">
        <f t="shared" si="14"/>
        <v>338.62984451506856</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395</v>
      </c>
      <c r="T31" s="206" t="s">
        <v>5576</v>
      </c>
      <c r="U31" s="206">
        <v>1843</v>
      </c>
      <c r="V31" s="206">
        <f t="shared" si="6"/>
        <v>2429.4678465753427</v>
      </c>
      <c r="W31" s="32">
        <f t="shared" ref="W31:W34" si="15">V31*(1+$W$19/100)</f>
        <v>2478.0572035068494</v>
      </c>
      <c r="X31" s="32">
        <f t="shared" ref="X31:X34" si="16">V31*(1+$X$19/100)</f>
        <v>2526.6465604383566</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392</v>
      </c>
      <c r="T32" s="206" t="s">
        <v>5578</v>
      </c>
      <c r="U32" s="206">
        <v>1751</v>
      </c>
      <c r="V32" s="206">
        <f t="shared" si="6"/>
        <v>2304.1624876712331</v>
      </c>
      <c r="W32" s="32">
        <f t="shared" si="15"/>
        <v>2350.2457374246578</v>
      </c>
      <c r="X32" s="32">
        <f t="shared" si="16"/>
        <v>2396.3289871780826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454990700</v>
      </c>
      <c r="O33" s="67">
        <v>332110</v>
      </c>
      <c r="P33" s="97">
        <f>P48</f>
        <v>1370</v>
      </c>
      <c r="Q33" s="167">
        <v>16176504</v>
      </c>
      <c r="R33" s="206" t="s">
        <v>5579</v>
      </c>
      <c r="S33" s="194">
        <f>S32-1</f>
        <v>391</v>
      </c>
      <c r="T33" s="206" t="s">
        <v>5580</v>
      </c>
      <c r="U33" s="206">
        <v>1730</v>
      </c>
      <c r="V33" s="206">
        <f t="shared" si="6"/>
        <v>2275.2012054794523</v>
      </c>
      <c r="W33" s="32">
        <f t="shared" si="15"/>
        <v>2320.7052295890412</v>
      </c>
      <c r="X33" s="32">
        <f t="shared" si="16"/>
        <v>2366.2092536986306</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383</v>
      </c>
      <c r="T34" s="206" t="s">
        <v>5590</v>
      </c>
      <c r="U34" s="206">
        <v>1737.1</v>
      </c>
      <c r="V34" s="206">
        <f t="shared" si="6"/>
        <v>2273.8781775342468</v>
      </c>
      <c r="W34" s="32">
        <f t="shared" si="15"/>
        <v>2319.3557410849317</v>
      </c>
      <c r="X34" s="32">
        <f t="shared" si="16"/>
        <v>2364.8333046356165</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382</v>
      </c>
      <c r="T35" s="206" t="s">
        <v>5593</v>
      </c>
      <c r="U35" s="206">
        <v>1730.1</v>
      </c>
      <c r="V35" s="206">
        <f t="shared" si="6"/>
        <v>2263.3879199999997</v>
      </c>
      <c r="W35" s="32">
        <f t="shared" ref="W35:W36" si="17">V35*(1+$W$19/100)</f>
        <v>2308.6556783999995</v>
      </c>
      <c r="X35" s="32">
        <f t="shared" ref="X35:X36" si="18">V35*(1+$X$19/100)</f>
        <v>2353.9234367999998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-W161</f>
        <v>-6383881694.7007151</v>
      </c>
      <c r="P36" t="s">
        <v>25</v>
      </c>
      <c r="Q36" s="167">
        <v>38191823</v>
      </c>
      <c r="R36" s="206" t="s">
        <v>5591</v>
      </c>
      <c r="S36" s="194">
        <f>S35-1</f>
        <v>381</v>
      </c>
      <c r="T36" s="206" t="s">
        <v>5592</v>
      </c>
      <c r="U36" s="206">
        <v>1646</v>
      </c>
      <c r="V36" s="206">
        <f t="shared" si="6"/>
        <v>2152.1021589041097</v>
      </c>
      <c r="W36" s="32">
        <f t="shared" si="17"/>
        <v>2195.1442020821919</v>
      </c>
      <c r="X36" s="32">
        <f t="shared" si="18"/>
        <v>2238.1862452602741</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378</v>
      </c>
      <c r="T37" s="206" t="s">
        <v>5598</v>
      </c>
      <c r="U37" s="206">
        <v>1674.7</v>
      </c>
      <c r="V37" s="206">
        <f t="shared" si="6"/>
        <v>2185.7725578082195</v>
      </c>
      <c r="W37" s="32">
        <f t="shared" ref="W37:W40" si="19">V37*(1+$W$19/100)</f>
        <v>2229.4880089643839</v>
      </c>
      <c r="X37" s="32">
        <f t="shared" ref="X37:X40" si="20">V37*(1+$X$19/100)</f>
        <v>2273.2034601205482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376</v>
      </c>
      <c r="T38" s="206" t="s">
        <v>5597</v>
      </c>
      <c r="U38" s="206">
        <v>1663</v>
      </c>
      <c r="V38" s="206">
        <f t="shared" si="6"/>
        <v>2167.9505863013701</v>
      </c>
      <c r="W38" s="32">
        <f t="shared" si="19"/>
        <v>2211.3095980273974</v>
      </c>
      <c r="X38" s="32">
        <f t="shared" si="20"/>
        <v>2254.6686097534248</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375</v>
      </c>
      <c r="T39" s="206" t="s">
        <v>5604</v>
      </c>
      <c r="U39" s="206">
        <v>1580</v>
      </c>
      <c r="V39" s="206">
        <f t="shared" si="6"/>
        <v>2058.5365479452057</v>
      </c>
      <c r="W39" s="32">
        <f t="shared" si="19"/>
        <v>2099.7072789041099</v>
      </c>
      <c r="X39" s="32">
        <f t="shared" si="20"/>
        <v>2140.8780098630141</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370</v>
      </c>
      <c r="T40" s="206" t="s">
        <v>5608</v>
      </c>
      <c r="U40" s="206">
        <v>1560.1</v>
      </c>
      <c r="V40" s="206">
        <f t="shared" si="6"/>
        <v>2026.6254652054795</v>
      </c>
      <c r="W40" s="32">
        <f t="shared" si="19"/>
        <v>2067.1579745095892</v>
      </c>
      <c r="X40" s="32">
        <f t="shared" si="20"/>
        <v>2107.6904838136988</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362</v>
      </c>
      <c r="T41" s="206" t="s">
        <v>5614</v>
      </c>
      <c r="U41" s="206">
        <v>1667</v>
      </c>
      <c r="V41" s="206">
        <f t="shared" si="6"/>
        <v>2155.2620164383566</v>
      </c>
      <c r="W41" s="32">
        <f t="shared" ref="W41:W42" si="21">V41*(1+$W$19/100)</f>
        <v>2198.3672567671238</v>
      </c>
      <c r="X41" s="32">
        <f t="shared" ref="X41:X42" si="22">V41*(1+$X$19/100)</f>
        <v>2241.472497095891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357</v>
      </c>
      <c r="T42" s="206" t="s">
        <v>5629</v>
      </c>
      <c r="U42" s="206">
        <v>1768.2</v>
      </c>
      <c r="V42" s="206">
        <f t="shared" si="6"/>
        <v>2279.3212208219184</v>
      </c>
      <c r="W42" s="32">
        <f t="shared" si="21"/>
        <v>2324.907645238357</v>
      </c>
      <c r="X42" s="32">
        <f t="shared" si="22"/>
        <v>2370.4940696547951</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354</v>
      </c>
      <c r="T43" s="206" t="s">
        <v>5644</v>
      </c>
      <c r="U43" s="206">
        <v>1582.3</v>
      </c>
      <c r="V43" s="206">
        <f t="shared" si="6"/>
        <v>2036.0429490410961</v>
      </c>
      <c r="W43" s="32">
        <f t="shared" ref="W43:W44" si="23">V43*(1+$W$19/100)</f>
        <v>2076.7638080219181</v>
      </c>
      <c r="X43" s="32">
        <f t="shared" ref="X43:X44" si="24">V43*(1+$X$19/100)</f>
        <v>2117.48466700274</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62</v>
      </c>
      <c r="O44" s="112"/>
      <c r="P44" t="s">
        <v>25</v>
      </c>
      <c r="Q44" s="167">
        <v>23400057</v>
      </c>
      <c r="R44" s="206" t="s">
        <v>5641</v>
      </c>
      <c r="S44" s="194">
        <f>S43-1</f>
        <v>353</v>
      </c>
      <c r="T44" s="206" t="s">
        <v>5645</v>
      </c>
      <c r="U44" s="206">
        <v>1610.6</v>
      </c>
      <c r="V44" s="206">
        <f t="shared" si="6"/>
        <v>2071.2227747945203</v>
      </c>
      <c r="W44" s="32">
        <f t="shared" si="23"/>
        <v>2112.6472302904108</v>
      </c>
      <c r="X44" s="32">
        <f t="shared" si="24"/>
        <v>2154.0716857863013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6703</v>
      </c>
      <c r="L45" s="115">
        <v>25000000</v>
      </c>
      <c r="M45" s="166" t="s">
        <v>6510</v>
      </c>
      <c r="N45" s="111">
        <f>O45*P45</f>
        <v>0</v>
      </c>
      <c r="O45" s="97">
        <v>0</v>
      </c>
      <c r="P45" s="97">
        <v>1</v>
      </c>
      <c r="Q45" s="167"/>
      <c r="R45" s="206" t="s">
        <v>5647</v>
      </c>
      <c r="S45" s="194">
        <f>S44-4</f>
        <v>349</v>
      </c>
      <c r="T45" s="206" t="s">
        <v>5648</v>
      </c>
      <c r="U45" s="206">
        <v>1582</v>
      </c>
      <c r="V45" s="206">
        <f t="shared" si="6"/>
        <v>2029.5889753424658</v>
      </c>
      <c r="W45" s="32">
        <f t="shared" ref="W45:W46" si="25">V45*(1+$W$19/100)</f>
        <v>2070.1807548493152</v>
      </c>
      <c r="X45" s="32">
        <f t="shared" ref="X45:X46" si="26">V45*(1+$X$19/100)</f>
        <v>2110.7725343561647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348</v>
      </c>
      <c r="T46" s="206" t="s">
        <v>5650</v>
      </c>
      <c r="U46" s="206">
        <v>1530</v>
      </c>
      <c r="V46" s="206">
        <f t="shared" si="6"/>
        <v>1961.7031232876714</v>
      </c>
      <c r="W46" s="32">
        <f t="shared" si="25"/>
        <v>2000.9371857534247</v>
      </c>
      <c r="X46" s="32">
        <f t="shared" si="26"/>
        <v>2040.1712482191783</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346</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5612847530</v>
      </c>
      <c r="O48" s="97">
        <v>4096969</v>
      </c>
      <c r="P48" s="97">
        <v>1370</v>
      </c>
      <c r="Q48" s="167"/>
      <c r="R48" s="206" t="s">
        <v>5668</v>
      </c>
      <c r="S48" s="194">
        <f>S47-19</f>
        <v>327</v>
      </c>
      <c r="T48" s="206" t="s">
        <v>5669</v>
      </c>
      <c r="U48" s="206">
        <v>1160</v>
      </c>
      <c r="V48" s="206">
        <f t="shared" si="6"/>
        <v>1468.6172054794522</v>
      </c>
      <c r="W48" s="32">
        <f t="shared" si="28"/>
        <v>1497.9895495890412</v>
      </c>
      <c r="X48" s="32">
        <f t="shared" si="29"/>
        <v>1527.3618936986304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-23200000</v>
      </c>
      <c r="M49" s="19" t="s">
        <v>5878</v>
      </c>
      <c r="N49" s="111">
        <f>O49*P49</f>
        <v>0</v>
      </c>
      <c r="O49" s="97">
        <v>0</v>
      </c>
      <c r="P49" s="97">
        <v>3000</v>
      </c>
      <c r="Q49" s="167"/>
      <c r="R49" s="206" t="s">
        <v>5670</v>
      </c>
      <c r="S49" s="194">
        <f>S48-1</f>
        <v>326</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325</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6701</v>
      </c>
      <c r="L51" s="115">
        <f>-10*P53</f>
        <v>-11600000</v>
      </c>
      <c r="M51" s="19" t="s">
        <v>5270</v>
      </c>
      <c r="N51" s="111">
        <f t="shared" si="27"/>
        <v>806477100</v>
      </c>
      <c r="O51" s="97">
        <v>563970</v>
      </c>
      <c r="P51" s="97">
        <v>1430</v>
      </c>
      <c r="Q51" s="167"/>
      <c r="R51" s="206" t="s">
        <v>5674</v>
      </c>
      <c r="S51" s="194">
        <f>S50-3</f>
        <v>322</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6702</v>
      </c>
      <c r="L52" s="115">
        <v>80060</v>
      </c>
      <c r="M52" s="19" t="s">
        <v>5815</v>
      </c>
      <c r="N52" s="111">
        <f t="shared" si="27"/>
        <v>0</v>
      </c>
      <c r="O52" s="97">
        <v>0</v>
      </c>
      <c r="P52" s="97">
        <v>1340</v>
      </c>
      <c r="Q52" s="167"/>
      <c r="R52" s="206" t="s">
        <v>5677</v>
      </c>
      <c r="S52" s="194">
        <f>S51-2</f>
        <v>320</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11600000</v>
      </c>
      <c r="O53" s="67">
        <v>10</v>
      </c>
      <c r="P53" s="67">
        <v>1160000</v>
      </c>
      <c r="Q53" s="167" t="s">
        <v>25</v>
      </c>
      <c r="R53" s="206" t="s">
        <v>5680</v>
      </c>
      <c r="S53" s="194">
        <f>S52-7</f>
        <v>313</v>
      </c>
      <c r="T53" s="206" t="s">
        <v>6505</v>
      </c>
      <c r="U53" s="206">
        <v>1100</v>
      </c>
      <c r="V53" s="206">
        <f t="shared" si="30"/>
        <v>1380.8405479452056</v>
      </c>
      <c r="W53" s="32">
        <f t="shared" si="28"/>
        <v>1408.4573589041097</v>
      </c>
      <c r="X53" s="32">
        <f t="shared" si="29"/>
        <v>1436.0741698630138</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7036</v>
      </c>
      <c r="L54" s="115">
        <v>-312000</v>
      </c>
      <c r="M54" s="71" t="s">
        <v>5058</v>
      </c>
      <c r="N54" s="115">
        <f t="shared" si="27"/>
        <v>0</v>
      </c>
      <c r="O54" s="67">
        <v>0</v>
      </c>
      <c r="P54" s="67">
        <v>27500</v>
      </c>
      <c r="Q54" s="167"/>
      <c r="R54" s="206" t="s">
        <v>963</v>
      </c>
      <c r="S54" s="284">
        <f>S53-20</f>
        <v>293</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t="s">
        <v>7042</v>
      </c>
      <c r="L55" s="115">
        <v>-1000000</v>
      </c>
      <c r="M55" s="166" t="s">
        <v>1134</v>
      </c>
      <c r="N55" s="115">
        <v>14908</v>
      </c>
      <c r="O55" s="72">
        <v>1</v>
      </c>
      <c r="P55" t="s">
        <v>25</v>
      </c>
      <c r="Q55" s="167" t="s">
        <v>25</v>
      </c>
      <c r="R55" s="206" t="s">
        <v>5739</v>
      </c>
      <c r="S55" s="194">
        <f>S54-22</f>
        <v>271</v>
      </c>
      <c r="T55" s="206" t="s">
        <v>5740</v>
      </c>
      <c r="U55" s="206">
        <v>1302</v>
      </c>
      <c r="V55" s="206">
        <f t="shared" si="30"/>
        <v>1592.4637150684932</v>
      </c>
      <c r="W55" s="32">
        <f t="shared" si="28"/>
        <v>1624.3129893698631</v>
      </c>
      <c r="X55" s="32">
        <f t="shared" si="29"/>
        <v>1656.1622636712329</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270</v>
      </c>
      <c r="T56" s="206" t="s">
        <v>5746</v>
      </c>
      <c r="U56" s="206">
        <v>1250</v>
      </c>
      <c r="V56" s="206">
        <f t="shared" si="30"/>
        <v>1527.9041095890411</v>
      </c>
      <c r="W56" s="32">
        <f t="shared" ref="W56:W67" si="31">V56*(1+$W$19/100)</f>
        <v>1558.462191780822</v>
      </c>
      <c r="X56" s="32">
        <f t="shared" ref="X56:X67" si="32">V56*(1+$X$19/100)</f>
        <v>1589.0202739726028</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O48+10526</f>
        <v>4107495</v>
      </c>
      <c r="P57" s="113"/>
      <c r="Q57" s="167"/>
      <c r="R57" s="206" t="s">
        <v>5749</v>
      </c>
      <c r="S57" s="194">
        <f>S56-4</f>
        <v>266</v>
      </c>
      <c r="T57" s="206" t="s">
        <v>5750</v>
      </c>
      <c r="U57" s="206">
        <v>1195</v>
      </c>
      <c r="V57" s="206">
        <f t="shared" si="30"/>
        <v>1457.0094794520548</v>
      </c>
      <c r="W57" s="32">
        <f t="shared" si="31"/>
        <v>1486.1496690410959</v>
      </c>
      <c r="X57" s="32">
        <f t="shared" si="32"/>
        <v>1515.2898586301371</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262</v>
      </c>
      <c r="T58" s="206" t="s">
        <v>5760</v>
      </c>
      <c r="U58" s="206">
        <v>1190</v>
      </c>
      <c r="V58" s="206">
        <f t="shared" si="30"/>
        <v>1447.2616986301371</v>
      </c>
      <c r="W58" s="32">
        <f t="shared" si="31"/>
        <v>1476.2069326027399</v>
      </c>
      <c r="X58" s="32">
        <f t="shared" si="32"/>
        <v>1505.1521665753426</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259</v>
      </c>
      <c r="T59" s="206" t="s">
        <v>5759</v>
      </c>
      <c r="U59" s="206">
        <v>1147</v>
      </c>
      <c r="V59" s="206">
        <f t="shared" si="30"/>
        <v>1392.3260164383562</v>
      </c>
      <c r="W59" s="32">
        <f t="shared" si="31"/>
        <v>1420.1725367671233</v>
      </c>
      <c r="X59" s="32">
        <f t="shared" si="32"/>
        <v>1448.0190570958905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525043</v>
      </c>
      <c r="P60" t="s">
        <v>25</v>
      </c>
      <c r="Q60" s="167"/>
      <c r="R60" s="206" t="s">
        <v>5762</v>
      </c>
      <c r="S60" s="194">
        <f>S59-2</f>
        <v>257</v>
      </c>
      <c r="T60" s="206" t="s">
        <v>5880</v>
      </c>
      <c r="U60" s="206">
        <v>1170</v>
      </c>
      <c r="V60" s="206">
        <f t="shared" si="30"/>
        <v>1418.4503013698632</v>
      </c>
      <c r="W60" s="32">
        <f t="shared" si="31"/>
        <v>1446.8193073972604</v>
      </c>
      <c r="X60" s="32">
        <f t="shared" si="32"/>
        <v>1475.1883134246577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-W162</f>
        <v>-119466304.91503152</v>
      </c>
      <c r="P61" t="s">
        <v>25</v>
      </c>
      <c r="Q61" s="167"/>
      <c r="R61" s="206" t="s">
        <v>6423</v>
      </c>
      <c r="S61" s="194">
        <f>S60-107</f>
        <v>150</v>
      </c>
      <c r="T61" s="206" t="s">
        <v>6424</v>
      </c>
      <c r="U61" s="206">
        <v>1017</v>
      </c>
      <c r="V61" s="206">
        <f t="shared" si="30"/>
        <v>1149.4830575342467</v>
      </c>
      <c r="W61" s="32">
        <f t="shared" si="31"/>
        <v>1172.4727186849316</v>
      </c>
      <c r="X61" s="32">
        <f t="shared" si="32"/>
        <v>1195.4623798356165</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147</v>
      </c>
      <c r="T62" s="206" t="s">
        <v>6426</v>
      </c>
      <c r="U62" s="206">
        <v>990</v>
      </c>
      <c r="V62" s="206">
        <f t="shared" si="30"/>
        <v>1116.6874520547947</v>
      </c>
      <c r="W62" s="32">
        <f t="shared" si="31"/>
        <v>1139.0212010958905</v>
      </c>
      <c r="X62" s="32">
        <f t="shared" si="32"/>
        <v>1161.3549501369864</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146</v>
      </c>
      <c r="T63" s="206" t="s">
        <v>6428</v>
      </c>
      <c r="U63" s="206">
        <v>966</v>
      </c>
      <c r="V63" s="206">
        <f t="shared" si="30"/>
        <v>1088.8752000000002</v>
      </c>
      <c r="W63" s="32">
        <f t="shared" si="31"/>
        <v>1110.6527040000003</v>
      </c>
      <c r="X63" s="32">
        <f t="shared" si="32"/>
        <v>1132.4302080000002</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4073667976.3842535</v>
      </c>
      <c r="P64" t="s">
        <v>25</v>
      </c>
      <c r="Q64" s="167"/>
      <c r="R64" s="206" t="s">
        <v>6429</v>
      </c>
      <c r="S64" s="194">
        <f>S63-1</f>
        <v>145</v>
      </c>
      <c r="T64" s="206" t="s">
        <v>6430</v>
      </c>
      <c r="U64" s="206">
        <v>993</v>
      </c>
      <c r="V64" s="206">
        <f t="shared" si="30"/>
        <v>1118.5478465753426</v>
      </c>
      <c r="W64" s="32">
        <f t="shared" si="31"/>
        <v>1140.9188035068496</v>
      </c>
      <c r="X64" s="32">
        <f t="shared" si="32"/>
        <v>1163.2897604383563</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6361074529.7007151</v>
      </c>
      <c r="M65" s="166"/>
      <c r="N65" s="111">
        <f>N16+N17+N37</f>
        <v>141053</v>
      </c>
      <c r="P65" t="s">
        <v>25</v>
      </c>
      <c r="Q65" s="167"/>
      <c r="R65" s="206" t="s">
        <v>6432</v>
      </c>
      <c r="S65" s="194">
        <f>S64-2</f>
        <v>143</v>
      </c>
      <c r="T65" s="206" t="s">
        <v>6433</v>
      </c>
      <c r="U65" s="206">
        <v>1028</v>
      </c>
      <c r="V65" s="206">
        <f t="shared" si="30"/>
        <v>1156.395791780822</v>
      </c>
      <c r="W65" s="32">
        <f t="shared" si="31"/>
        <v>1179.5237076164385</v>
      </c>
      <c r="X65" s="32">
        <f t="shared" si="32"/>
        <v>1202.651623452055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94</v>
      </c>
      <c r="T66" s="206" t="s">
        <v>6501</v>
      </c>
      <c r="U66" s="206">
        <v>1036</v>
      </c>
      <c r="V66" s="206">
        <f t="shared" si="30"/>
        <v>1126.4527342465753</v>
      </c>
      <c r="W66" s="32">
        <f t="shared" si="31"/>
        <v>1148.9817889315068</v>
      </c>
      <c r="X66" s="32">
        <f t="shared" si="32"/>
        <v>1171.5108436164385</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6461074529.7007151</v>
      </c>
      <c r="O67" s="94"/>
      <c r="P67" s="120" t="s">
        <v>25</v>
      </c>
      <c r="Q67" s="167"/>
      <c r="R67" s="206" t="s">
        <v>6499</v>
      </c>
      <c r="S67" s="194">
        <f>S66-17</f>
        <v>77</v>
      </c>
      <c r="T67" s="206" t="s">
        <v>6530</v>
      </c>
      <c r="U67" s="206">
        <v>1178</v>
      </c>
      <c r="V67" s="206">
        <f t="shared" si="30"/>
        <v>1265.4882849315068</v>
      </c>
      <c r="W67" s="32">
        <f t="shared" si="31"/>
        <v>1290.7980506301369</v>
      </c>
      <c r="X67" s="32">
        <f t="shared" si="32"/>
        <v>1316.1078163287671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75</v>
      </c>
      <c r="T68" s="206" t="s">
        <v>6506</v>
      </c>
      <c r="U68" s="206">
        <v>1343</v>
      </c>
      <c r="V68" s="206">
        <f t="shared" si="30"/>
        <v>1440.6820931506852</v>
      </c>
      <c r="W68" s="32">
        <f t="shared" ref="W68:W78" si="34">V68*(1+$W$19/100)</f>
        <v>1469.495735013699</v>
      </c>
      <c r="X68" s="32">
        <f t="shared" ref="X68:X78" si="35">V68*(1+$X$19/100)</f>
        <v>1498.3093768767126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74</v>
      </c>
      <c r="T69" s="206" t="s">
        <v>6508</v>
      </c>
      <c r="U69" s="206">
        <v>1350.4</v>
      </c>
      <c r="V69" s="206">
        <f t="shared" si="30"/>
        <v>1447.5844032876714</v>
      </c>
      <c r="W69" s="32">
        <f t="shared" si="34"/>
        <v>1476.5360913534248</v>
      </c>
      <c r="X69" s="32">
        <f t="shared" si="35"/>
        <v>1505.4877794191784</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70</v>
      </c>
      <c r="T70" s="206" t="s">
        <v>6512</v>
      </c>
      <c r="U70" s="206">
        <v>1350.3</v>
      </c>
      <c r="V70" s="206">
        <f t="shared" si="30"/>
        <v>1443.3338202739728</v>
      </c>
      <c r="W70" s="32">
        <f t="shared" si="34"/>
        <v>1472.2004966794523</v>
      </c>
      <c r="X70" s="32">
        <f t="shared" si="35"/>
        <v>1501.0671730849317</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69</v>
      </c>
      <c r="T71" s="206" t="s">
        <v>6524</v>
      </c>
      <c r="U71" s="206">
        <v>1375.2</v>
      </c>
      <c r="V71" s="206">
        <f t="shared" si="30"/>
        <v>1468.8944482191782</v>
      </c>
      <c r="W71" s="32">
        <f t="shared" si="34"/>
        <v>1498.2723371835618</v>
      </c>
      <c r="X71" s="32">
        <f t="shared" si="35"/>
        <v>1527.6502261479454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68</v>
      </c>
      <c r="T72" s="206" t="s">
        <v>6529</v>
      </c>
      <c r="U72" s="206">
        <v>1406</v>
      </c>
      <c r="V72" s="206">
        <f t="shared" si="30"/>
        <v>1500.7143232876715</v>
      </c>
      <c r="W72" s="32">
        <f t="shared" si="34"/>
        <v>1530.728609753425</v>
      </c>
      <c r="X72" s="32">
        <f t="shared" si="35"/>
        <v>1560.7428962191784</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66</v>
      </c>
      <c r="T73" s="206" t="s">
        <v>6622</v>
      </c>
      <c r="U73" s="206">
        <v>1303</v>
      </c>
      <c r="V73" s="206">
        <f t="shared" si="30"/>
        <v>1388.7766684931507</v>
      </c>
      <c r="W73" s="32">
        <f t="shared" si="34"/>
        <v>1416.5522018630138</v>
      </c>
      <c r="X73" s="32">
        <f t="shared" si="35"/>
        <v>1444.3277352328769</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63</v>
      </c>
      <c r="T74" s="206" t="s">
        <v>7033</v>
      </c>
      <c r="U74" s="206">
        <v>1340</v>
      </c>
      <c r="V74" s="206">
        <f t="shared" si="30"/>
        <v>1425.1285479452056</v>
      </c>
      <c r="W74" s="32">
        <f t="shared" si="34"/>
        <v>1453.6311189041098</v>
      </c>
      <c r="X74" s="32">
        <f t="shared" si="35"/>
        <v>1482.1336898630138</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7</v>
      </c>
      <c r="T75" s="206" t="s">
        <v>7032</v>
      </c>
      <c r="U75" s="206">
        <v>1617</v>
      </c>
      <c r="V75" s="206">
        <f t="shared" si="30"/>
        <v>1650.2614684931509</v>
      </c>
      <c r="W75" s="32">
        <f t="shared" si="34"/>
        <v>1683.2666978630139</v>
      </c>
      <c r="X75" s="32">
        <f t="shared" si="35"/>
        <v>1716.271927232877</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1894249111.6758094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1092</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1030</v>
      </c>
      <c r="T85" s="188" t="s">
        <v>4456</v>
      </c>
      <c r="U85" s="166">
        <v>184.6</v>
      </c>
      <c r="V85" s="166">
        <f t="shared" ref="V85:V103" si="37">U85*(1+$R$111+$Q$15*S85/36500)</f>
        <v>333.26520767123287</v>
      </c>
      <c r="W85" s="32">
        <f t="shared" ref="W85:W92" si="38">V85*(1+$W$19/100)</f>
        <v>339.93051182465751</v>
      </c>
      <c r="X85" s="32">
        <f t="shared" ref="X85:X92" si="39">V85*(1+$X$19/100)</f>
        <v>346.59581597808221</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1009</v>
      </c>
      <c r="T86" s="187" t="s">
        <v>4460</v>
      </c>
      <c r="U86" s="166">
        <v>168.5</v>
      </c>
      <c r="V86" s="166">
        <f t="shared" si="37"/>
        <v>301.48481643835618</v>
      </c>
      <c r="W86" s="32">
        <f t="shared" si="38"/>
        <v>307.51451276712328</v>
      </c>
      <c r="X86" s="32">
        <f t="shared" si="39"/>
        <v>313.54420909589044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1008</v>
      </c>
      <c r="T87" s="187" t="s">
        <v>4464</v>
      </c>
      <c r="U87" s="166">
        <v>166.7</v>
      </c>
      <c r="V87" s="166">
        <f t="shared" si="37"/>
        <v>298.13632767123289</v>
      </c>
      <c r="W87" s="32">
        <f t="shared" si="38"/>
        <v>304.09905422465755</v>
      </c>
      <c r="X87" s="32">
        <f t="shared" si="39"/>
        <v>310.06178077808221</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1007</v>
      </c>
      <c r="T88" s="187" t="s">
        <v>4468</v>
      </c>
      <c r="U88" s="166">
        <v>166.6</v>
      </c>
      <c r="V88" s="166">
        <f t="shared" si="37"/>
        <v>297.82967890410958</v>
      </c>
      <c r="W88" s="32">
        <f t="shared" si="38"/>
        <v>303.78627248219181</v>
      </c>
      <c r="X88" s="32">
        <f t="shared" si="39"/>
        <v>309.74286606027397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977</v>
      </c>
      <c r="T89" s="187" t="s">
        <v>4550</v>
      </c>
      <c r="U89" s="166">
        <v>172.2</v>
      </c>
      <c r="V89" s="166">
        <f t="shared" si="37"/>
        <v>303.8778016438356</v>
      </c>
      <c r="W89" s="32">
        <f t="shared" si="38"/>
        <v>309.95535767671231</v>
      </c>
      <c r="X89" s="32">
        <f t="shared" si="39"/>
        <v>316.03291370958902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902</v>
      </c>
      <c r="T90" s="187" t="s">
        <v>4777</v>
      </c>
      <c r="U90" s="206">
        <v>183</v>
      </c>
      <c r="V90" s="206">
        <f t="shared" si="37"/>
        <v>312.40757260273978</v>
      </c>
      <c r="W90" s="32">
        <f t="shared" si="38"/>
        <v>318.65572405479458</v>
      </c>
      <c r="X90" s="32">
        <f t="shared" si="39"/>
        <v>324.90387550684937</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868</v>
      </c>
      <c r="T91" s="187" t="s">
        <v>4854</v>
      </c>
      <c r="U91" s="206">
        <v>218.5</v>
      </c>
      <c r="V91" s="206">
        <f t="shared" si="37"/>
        <v>367.31226849315073</v>
      </c>
      <c r="W91" s="32">
        <f t="shared" si="38"/>
        <v>374.65851386301375</v>
      </c>
      <c r="X91" s="32">
        <f t="shared" si="39"/>
        <v>382.00475923287678</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852</v>
      </c>
      <c r="T92" s="187" t="s">
        <v>5602</v>
      </c>
      <c r="U92" s="206">
        <v>196.2</v>
      </c>
      <c r="V92" s="206">
        <f t="shared" si="37"/>
        <v>327.41640986301371</v>
      </c>
      <c r="W92" s="32">
        <f t="shared" si="38"/>
        <v>333.96473806027399</v>
      </c>
      <c r="X92" s="32">
        <f t="shared" si="39"/>
        <v>340.51306625753426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354</v>
      </c>
      <c r="T93" s="187" t="s">
        <v>5638</v>
      </c>
      <c r="U93" s="206">
        <v>1550</v>
      </c>
      <c r="V93" s="206">
        <f t="shared" si="37"/>
        <v>1994.4805479452059</v>
      </c>
      <c r="W93" s="32">
        <f t="shared" ref="W93:W99" si="40">V93*(1+$W$19/100)</f>
        <v>2034.37015890411</v>
      </c>
      <c r="X93" s="32">
        <f t="shared" ref="X93:X99" si="41">V93*(1+$X$19/100)</f>
        <v>2074.2597698630143</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271</v>
      </c>
      <c r="T94" s="187" t="s">
        <v>5741</v>
      </c>
      <c r="U94" s="206">
        <v>1275</v>
      </c>
      <c r="V94" s="206">
        <f t="shared" si="37"/>
        <v>1559.4402739726029</v>
      </c>
      <c r="W94" s="32">
        <f t="shared" si="40"/>
        <v>1590.6290794520551</v>
      </c>
      <c r="X94" s="32">
        <f t="shared" si="41"/>
        <v>1621.817884931507</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266</v>
      </c>
      <c r="T95" s="187" t="s">
        <v>5751</v>
      </c>
      <c r="U95" s="206">
        <v>1210</v>
      </c>
      <c r="V95" s="206">
        <f t="shared" si="37"/>
        <v>1475.2983013698631</v>
      </c>
      <c r="W95" s="32">
        <f t="shared" si="40"/>
        <v>1504.8042673972604</v>
      </c>
      <c r="X95" s="32">
        <f t="shared" si="41"/>
        <v>1534.3102334246578</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262</v>
      </c>
      <c r="T96" s="187" t="s">
        <v>5757</v>
      </c>
      <c r="U96" s="206">
        <v>1175</v>
      </c>
      <c r="V96" s="206">
        <f t="shared" si="37"/>
        <v>1429.0189041095891</v>
      </c>
      <c r="W96" s="32">
        <f t="shared" si="40"/>
        <v>1457.599282191781</v>
      </c>
      <c r="X96" s="32">
        <f t="shared" si="41"/>
        <v>1486.1796602739728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259</v>
      </c>
      <c r="T97" s="187" t="s">
        <v>5761</v>
      </c>
      <c r="U97" s="206">
        <v>1148</v>
      </c>
      <c r="V97" s="206">
        <f t="shared" si="37"/>
        <v>1393.5399013698632</v>
      </c>
      <c r="W97" s="32">
        <f t="shared" si="40"/>
        <v>1421.4106993972605</v>
      </c>
      <c r="X97" s="32">
        <f t="shared" si="41"/>
        <v>1449.2814974246578</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258</v>
      </c>
      <c r="T98" s="187" t="s">
        <v>5765</v>
      </c>
      <c r="U98" s="206">
        <v>1141</v>
      </c>
      <c r="V98" s="206">
        <f t="shared" si="37"/>
        <v>1384.1674191780824</v>
      </c>
      <c r="W98" s="32">
        <f t="shared" si="40"/>
        <v>1411.850767561644</v>
      </c>
      <c r="X98" s="32">
        <f t="shared" si="41"/>
        <v>1439.5341159452057</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257</v>
      </c>
      <c r="T99" s="187" t="s">
        <v>5766</v>
      </c>
      <c r="U99" s="206">
        <v>1171</v>
      </c>
      <c r="V99" s="206">
        <f t="shared" si="37"/>
        <v>1419.6626520547945</v>
      </c>
      <c r="W99" s="32">
        <f t="shared" si="40"/>
        <v>1448.0559050958905</v>
      </c>
      <c r="X99" s="32">
        <f t="shared" si="41"/>
        <v>1476.4491581369864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192</v>
      </c>
      <c r="T100" s="187" t="s">
        <v>5824</v>
      </c>
      <c r="U100" s="206">
        <v>1255.0999999999999</v>
      </c>
      <c r="V100" s="206">
        <f t="shared" si="37"/>
        <v>1459.0382761643837</v>
      </c>
      <c r="W100" s="32">
        <f t="shared" ref="W100:W106" si="43">V100*(1+$W$19/100)</f>
        <v>1488.2190416876713</v>
      </c>
      <c r="X100" s="32">
        <f t="shared" ref="X100:X106" si="44">V100*(1+$X$19/100)</f>
        <v>1517.3998072109591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77</v>
      </c>
      <c r="T101" s="187" t="s">
        <v>6672</v>
      </c>
      <c r="U101" s="206">
        <v>1160</v>
      </c>
      <c r="V101" s="206">
        <f t="shared" si="37"/>
        <v>1246.1514520547946</v>
      </c>
      <c r="W101" s="32">
        <f t="shared" si="43"/>
        <v>1271.0744810958906</v>
      </c>
      <c r="X101" s="32">
        <f t="shared" si="44"/>
        <v>1295.9975101369864</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25</v>
      </c>
      <c r="T102" s="187" t="s">
        <v>6674</v>
      </c>
      <c r="U102" s="206">
        <v>1600</v>
      </c>
      <c r="V102" s="206">
        <f t="shared" si="37"/>
        <v>1655.0049315068495</v>
      </c>
      <c r="W102" s="32">
        <f t="shared" si="43"/>
        <v>1688.1050301369864</v>
      </c>
      <c r="X102" s="32">
        <f t="shared" si="44"/>
        <v>1721.2051287671236</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12</v>
      </c>
      <c r="T103" s="187" t="s">
        <v>6698</v>
      </c>
      <c r="U103" s="206">
        <v>1544</v>
      </c>
      <c r="V103" s="206">
        <f t="shared" si="37"/>
        <v>1581.6820602739729</v>
      </c>
      <c r="W103" s="32">
        <f t="shared" si="43"/>
        <v>1613.3157014794524</v>
      </c>
      <c r="X103" s="32">
        <f t="shared" si="44"/>
        <v>1644.9493426849319</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8467.1532846715327</v>
      </c>
      <c r="G106" s="196">
        <f>P48</f>
        <v>1370</v>
      </c>
      <c r="H106" s="196" t="s">
        <v>4702</v>
      </c>
      <c r="I106" s="196" t="s">
        <v>5289</v>
      </c>
      <c r="J106" s="207" t="s">
        <v>4217</v>
      </c>
      <c r="K106" s="196">
        <v>210</v>
      </c>
      <c r="L106" s="208">
        <f t="shared" ref="L106:L111" si="45">K106*$L$114</f>
        <v>2436000000</v>
      </c>
      <c r="M106" s="208">
        <f>N22+N33+N48</f>
        <v>9588129950</v>
      </c>
      <c r="N106" s="181">
        <f>L106-M106</f>
        <v>-7152129950</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382800000</v>
      </c>
      <c r="M107" s="1">
        <f>N51+N30+N23</f>
        <v>1021088640</v>
      </c>
      <c r="N107" s="111">
        <f t="shared" ref="N107:N109" si="46">L107-M107</f>
        <v>-638288640</v>
      </c>
      <c r="P107" s="94"/>
      <c r="Q107" s="111">
        <f>SUM(N30:N33)-SUM(Q84:Q106)</f>
        <v>460487466.7462979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11600000</v>
      </c>
      <c r="M110" s="208">
        <f>N52+N24+N45+N29+N21</f>
        <v>0</v>
      </c>
      <c r="N110" s="181">
        <f>L110-M110</f>
        <v>11600000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8340400000</v>
      </c>
      <c r="M111" s="238">
        <v>0</v>
      </c>
      <c r="N111" s="84">
        <f>L111-M111</f>
        <v>8340400000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11600000</v>
      </c>
      <c r="M114" s="1">
        <f>K114*L114</f>
        <v>0</v>
      </c>
      <c r="N114" s="111">
        <f>SUM(N106:N112)-M114</f>
        <v>556580962</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1092</v>
      </c>
      <c r="T115" s="5" t="s">
        <v>5569</v>
      </c>
      <c r="U115" s="166">
        <v>192</v>
      </c>
      <c r="V115" s="97">
        <f t="shared" ref="V115:V151" si="47">U115*(1+$R$111+$Q$15*S115/36500)</f>
        <v>355.7565369863014</v>
      </c>
      <c r="W115" s="32">
        <f t="shared" ref="W115" si="48">V115*(1+$W$19/100)</f>
        <v>362.87166772602745</v>
      </c>
      <c r="X115" s="32">
        <f t="shared" ref="X115" si="49">V115*(1+$X$19/100)</f>
        <v>369.98679846575345</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397</v>
      </c>
      <c r="T116" s="206" t="s">
        <v>5581</v>
      </c>
      <c r="U116" s="206">
        <v>1995.5</v>
      </c>
      <c r="V116" s="97">
        <f t="shared" si="47"/>
        <v>2633.5570246575348</v>
      </c>
      <c r="W116" s="32">
        <f t="shared" ref="W116:W117" si="50">V116*(1+$W$19/100)</f>
        <v>2686.2281651506855</v>
      </c>
      <c r="X116" s="32">
        <f t="shared" ref="X116:X117" si="51">V116*(1+$X$19/100)</f>
        <v>2738.8993056438362</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392</v>
      </c>
      <c r="T117" s="206" t="s">
        <v>5630</v>
      </c>
      <c r="U117" s="206">
        <v>1751</v>
      </c>
      <c r="V117" s="97">
        <f t="shared" si="47"/>
        <v>2304.1624876712331</v>
      </c>
      <c r="W117" s="32">
        <f t="shared" si="50"/>
        <v>2350.2457374246578</v>
      </c>
      <c r="X117" s="32">
        <f t="shared" si="51"/>
        <v>2396.3289871780826</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356</v>
      </c>
      <c r="T118" s="206" t="s">
        <v>5633</v>
      </c>
      <c r="U118" s="206">
        <v>1715</v>
      </c>
      <c r="V118" s="97">
        <f t="shared" si="47"/>
        <v>2209.4274520547947</v>
      </c>
      <c r="W118" s="32">
        <f t="shared" ref="W118" si="52">V118*(1+$W$19/100)</f>
        <v>2253.6160010958906</v>
      </c>
      <c r="X118" s="32">
        <f t="shared" ref="X118" si="53">V118*(1+$X$19/100)</f>
        <v>2297.8045501369866</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355</v>
      </c>
      <c r="T119" s="206" t="s">
        <v>5635</v>
      </c>
      <c r="U119" s="206">
        <v>1631</v>
      </c>
      <c r="V119" s="97">
        <f t="shared" si="47"/>
        <v>2099.9594191780825</v>
      </c>
      <c r="W119" s="32">
        <f t="shared" ref="W119:W120" si="54">V119*(1+$W$19/100)</f>
        <v>2141.9586075616444</v>
      </c>
      <c r="X119" s="32">
        <f t="shared" ref="X119:X120" si="55">V119*(1+$X$19/100)</f>
        <v>2183.9577959452058</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354</v>
      </c>
      <c r="T120" s="206" t="s">
        <v>5656</v>
      </c>
      <c r="U120" s="206">
        <v>1567.4</v>
      </c>
      <c r="V120" s="97">
        <f t="shared" si="47"/>
        <v>2016.8702005479456</v>
      </c>
      <c r="W120" s="32">
        <f t="shared" si="54"/>
        <v>2057.2076045589047</v>
      </c>
      <c r="X120" s="32">
        <f t="shared" si="55"/>
        <v>2097.5450085698635</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341</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340</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339</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286</v>
      </c>
      <c r="T124" s="206" t="s">
        <v>5715</v>
      </c>
      <c r="U124" s="206">
        <v>1500</v>
      </c>
      <c r="V124" s="97">
        <f t="shared" si="47"/>
        <v>1851.8958904109591</v>
      </c>
      <c r="W124" s="32">
        <f t="shared" ref="W124:W133" si="61">V124*(1+$W$19/100)</f>
        <v>1888.9338082191782</v>
      </c>
      <c r="X124" s="32">
        <f t="shared" ref="X124:X133" si="62">V124*(1+$X$19/100)</f>
        <v>1925.9717260273974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285</v>
      </c>
      <c r="T125" s="206" t="s">
        <v>5717</v>
      </c>
      <c r="U125" s="206">
        <v>1440</v>
      </c>
      <c r="V125" s="97">
        <f t="shared" si="47"/>
        <v>1776.7153972602739</v>
      </c>
      <c r="W125" s="32">
        <f t="shared" si="61"/>
        <v>1812.2497052054794</v>
      </c>
      <c r="X125" s="32">
        <f t="shared" si="62"/>
        <v>1847.7840131506848</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284</v>
      </c>
      <c r="T126" s="206" t="s">
        <v>5719</v>
      </c>
      <c r="U126" s="206">
        <v>1362</v>
      </c>
      <c r="V126" s="97">
        <f t="shared" si="47"/>
        <v>1679.4318246575344</v>
      </c>
      <c r="W126" s="32">
        <f t="shared" si="61"/>
        <v>1713.0204611506852</v>
      </c>
      <c r="X126" s="32">
        <f t="shared" si="62"/>
        <v>1746.6090976438359</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283</v>
      </c>
      <c r="T127" s="206" t="s">
        <v>5726</v>
      </c>
      <c r="U127" s="206">
        <v>1330</v>
      </c>
      <c r="V127" s="97">
        <f t="shared" si="47"/>
        <v>1638.9535342465754</v>
      </c>
      <c r="W127" s="32">
        <f t="shared" si="61"/>
        <v>1671.732604931507</v>
      </c>
      <c r="X127" s="32">
        <f t="shared" si="62"/>
        <v>1704.5116756164384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279</v>
      </c>
      <c r="T128" s="206" t="s">
        <v>5731</v>
      </c>
      <c r="U128" s="206">
        <v>1390</v>
      </c>
      <c r="V128" s="97">
        <f t="shared" si="47"/>
        <v>1708.6260821917811</v>
      </c>
      <c r="W128" s="32">
        <f t="shared" si="61"/>
        <v>1742.7986038356166</v>
      </c>
      <c r="X128" s="32">
        <f t="shared" si="62"/>
        <v>1776.9711254794524</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278</v>
      </c>
      <c r="T129" s="206" t="s">
        <v>5733</v>
      </c>
      <c r="U129" s="206">
        <v>1350</v>
      </c>
      <c r="V129" s="97">
        <f t="shared" si="47"/>
        <v>1658.421369863014</v>
      </c>
      <c r="W129" s="32">
        <f t="shared" si="61"/>
        <v>1691.5897972602743</v>
      </c>
      <c r="X129" s="32">
        <f t="shared" si="62"/>
        <v>1724.7582246575346</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276</v>
      </c>
      <c r="T130" s="206" t="s">
        <v>6651</v>
      </c>
      <c r="U130" s="206">
        <v>1228</v>
      </c>
      <c r="V130" s="97">
        <f t="shared" si="47"/>
        <v>1506.6651616438357</v>
      </c>
      <c r="W130" s="32">
        <f t="shared" si="61"/>
        <v>1536.7984648767124</v>
      </c>
      <c r="X130" s="32">
        <f t="shared" si="62"/>
        <v>1566.9317681095893</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215</v>
      </c>
      <c r="T131" s="206" t="s">
        <v>5783</v>
      </c>
      <c r="U131" s="206">
        <v>1354.1</v>
      </c>
      <c r="V131" s="97">
        <f t="shared" si="47"/>
        <v>1598.0160734246576</v>
      </c>
      <c r="W131" s="32">
        <f t="shared" si="61"/>
        <v>1629.9763948931509</v>
      </c>
      <c r="X131" s="32">
        <f t="shared" si="62"/>
        <v>1661.9367163616439</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207</v>
      </c>
      <c r="T132" s="206" t="s">
        <v>5800</v>
      </c>
      <c r="U132" s="206">
        <v>1266</v>
      </c>
      <c r="V132" s="97">
        <f t="shared" si="47"/>
        <v>1486.2770630136988</v>
      </c>
      <c r="W132" s="32">
        <f t="shared" si="61"/>
        <v>1516.0026042739728</v>
      </c>
      <c r="X132" s="32">
        <f t="shared" si="62"/>
        <v>1545.7281455342468</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194</v>
      </c>
      <c r="T133" s="206" t="s">
        <v>6498</v>
      </c>
      <c r="U133" s="206">
        <v>1275</v>
      </c>
      <c r="V133" s="97">
        <f t="shared" si="47"/>
        <v>1484.1279452054794</v>
      </c>
      <c r="W133" s="32">
        <f t="shared" si="61"/>
        <v>1513.8105041095889</v>
      </c>
      <c r="X133" s="32">
        <f t="shared" si="62"/>
        <v>1543.4930630136987</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77</v>
      </c>
      <c r="T134" s="206" t="s">
        <v>6500</v>
      </c>
      <c r="U134" s="206">
        <v>1310</v>
      </c>
      <c r="V134" s="97">
        <f t="shared" si="47"/>
        <v>1407.2917260273973</v>
      </c>
      <c r="W134" s="32">
        <f t="shared" ref="W134:W139" si="64">V134*(1+$W$19/100)</f>
        <v>1435.4375605479454</v>
      </c>
      <c r="X134" s="32">
        <f t="shared" ref="X134:X139" si="65">V134*(1+$X$19/100)</f>
        <v>1463.5833950684932</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73</v>
      </c>
      <c r="T135" s="206" t="s">
        <v>6657</v>
      </c>
      <c r="U135" s="206">
        <v>1388</v>
      </c>
      <c r="V135" s="97">
        <f t="shared" si="47"/>
        <v>1486.8256000000001</v>
      </c>
      <c r="W135" s="32">
        <f t="shared" si="64"/>
        <v>1516.5621120000001</v>
      </c>
      <c r="X135" s="32">
        <f t="shared" si="65"/>
        <v>1546.2986240000002</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42</v>
      </c>
      <c r="T136" s="206" t="s">
        <v>6653</v>
      </c>
      <c r="U136" s="206">
        <v>1493</v>
      </c>
      <c r="V136" s="97">
        <f t="shared" si="47"/>
        <v>1563.7968328767126</v>
      </c>
      <c r="W136" s="32">
        <f t="shared" si="64"/>
        <v>1595.0727695342468</v>
      </c>
      <c r="X136" s="32">
        <f t="shared" si="65"/>
        <v>1626.3487061917813</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745320.17518248176</v>
      </c>
      <c r="H137" s="276" t="s">
        <v>5443</v>
      </c>
      <c r="I137" s="32" t="e">
        <f>(N32+N48+N46+N33+N25+N22+N23+N24+N30+N31+#REF!+N49+N51)/P47</f>
        <v>#REF!</v>
      </c>
      <c r="J137" s="112"/>
      <c r="K137" s="94"/>
      <c r="L137" s="94" t="s">
        <v>25</v>
      </c>
      <c r="M137" s="94"/>
      <c r="Q137" s="167"/>
      <c r="R137" s="206" t="s">
        <v>6654</v>
      </c>
      <c r="S137" s="206">
        <f>S136-2</f>
        <v>40</v>
      </c>
      <c r="T137" s="206" t="s">
        <v>6655</v>
      </c>
      <c r="U137" s="206">
        <v>1510</v>
      </c>
      <c r="V137" s="97">
        <f t="shared" si="47"/>
        <v>1579.2862465753426</v>
      </c>
      <c r="W137" s="32">
        <f t="shared" si="64"/>
        <v>1610.8719715068494</v>
      </c>
      <c r="X137" s="32">
        <f t="shared" si="65"/>
        <v>1642.4576964383564</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39</v>
      </c>
      <c r="T138" s="206" t="s">
        <v>7045</v>
      </c>
      <c r="U138" s="206">
        <v>11390000</v>
      </c>
      <c r="V138" s="97">
        <f t="shared" si="47"/>
        <v>11903891.835616438</v>
      </c>
      <c r="W138" s="32">
        <f t="shared" si="64"/>
        <v>12141969.672328766</v>
      </c>
      <c r="X138" s="32">
        <f t="shared" si="65"/>
        <v>12380047.509041095</v>
      </c>
      <c r="Y138" s="356"/>
      <c r="Z138" s="356"/>
      <c r="AA138" s="356"/>
      <c r="AH138" s="119">
        <v>118</v>
      </c>
      <c r="AI138" s="77" t="s">
        <v>4623</v>
      </c>
      <c r="AJ138" s="77">
        <v>8739459</v>
      </c>
      <c r="AK138" s="119">
        <v>2</v>
      </c>
      <c r="AL138" s="119">
        <f t="shared" si="63"/>
        <v>832</v>
      </c>
      <c r="AM138" s="77">
        <f t="shared" si="60"/>
        <v>7271229888</v>
      </c>
      <c r="AN138" s="119" t="s">
        <v>4584</v>
      </c>
    </row>
    <row r="139" spans="7:43">
      <c r="G139" s="32">
        <f>(W162+W163)/P48</f>
        <v>399953.19829231786</v>
      </c>
      <c r="H139" s="32" t="s">
        <v>5424</v>
      </c>
      <c r="I139" s="32">
        <f>(W162+W163)/P47</f>
        <v>20521.943133351142</v>
      </c>
      <c r="J139" s="112"/>
      <c r="K139" s="94"/>
      <c r="L139" s="94"/>
      <c r="M139" s="94"/>
      <c r="N139" s="94"/>
      <c r="O139" s="94"/>
      <c r="Q139" s="167"/>
      <c r="R139" s="206" t="s">
        <v>6656</v>
      </c>
      <c r="S139" s="206">
        <f>S115-1053</f>
        <v>39</v>
      </c>
      <c r="T139" s="206" t="s">
        <v>6694</v>
      </c>
      <c r="U139" s="206">
        <v>1531.6</v>
      </c>
      <c r="V139" s="97">
        <f t="shared" si="47"/>
        <v>1600.7024350684931</v>
      </c>
      <c r="W139" s="32">
        <f t="shared" si="64"/>
        <v>1632.7164837698629</v>
      </c>
      <c r="X139" s="32">
        <f t="shared" si="65"/>
        <v>1664.7305324712329</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W160/P48</f>
        <v>2675754.2077655545</v>
      </c>
      <c r="H140" s="32" t="s">
        <v>480</v>
      </c>
      <c r="I140" s="32">
        <f>W160/P47</f>
        <v>137295.2533572588</v>
      </c>
      <c r="J140" s="112"/>
      <c r="K140" s="94"/>
      <c r="L140" s="94"/>
      <c r="N140" s="94"/>
      <c r="Q140" s="167"/>
      <c r="R140" s="206" t="s">
        <v>6664</v>
      </c>
      <c r="S140" s="206">
        <f>S139-5</f>
        <v>34</v>
      </c>
      <c r="T140" s="206" t="s">
        <v>7029</v>
      </c>
      <c r="U140" s="206">
        <v>1702</v>
      </c>
      <c r="V140" s="97">
        <f t="shared" si="47"/>
        <v>1772.2622904109589</v>
      </c>
      <c r="W140" s="32">
        <f t="shared" ref="W140:W151" si="66">V140*(1+$W$19/100)</f>
        <v>1807.7075362191781</v>
      </c>
      <c r="X140" s="32">
        <f t="shared" ref="X140:X151" si="67">V140*(1+$X$19/100)</f>
        <v>1843.1527820273973</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13</v>
      </c>
      <c r="T141" s="206" t="s">
        <v>6696</v>
      </c>
      <c r="U141" s="206">
        <v>1560</v>
      </c>
      <c r="V141" s="97">
        <f t="shared" si="47"/>
        <v>1599.2692602739728</v>
      </c>
      <c r="W141" s="32">
        <f t="shared" si="66"/>
        <v>1631.2546454794524</v>
      </c>
      <c r="X141" s="32">
        <f t="shared" si="67"/>
        <v>1663.2400306849318</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12</v>
      </c>
      <c r="T142" s="206" t="s">
        <v>7035</v>
      </c>
      <c r="U142" s="206">
        <v>1550</v>
      </c>
      <c r="V142" s="97">
        <f t="shared" si="47"/>
        <v>1587.8284931506853</v>
      </c>
      <c r="W142" s="32">
        <f t="shared" si="66"/>
        <v>1619.585063013699</v>
      </c>
      <c r="X142" s="32">
        <f t="shared" si="67"/>
        <v>1651.3416328767128</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7034</v>
      </c>
      <c r="S143" s="206">
        <f>S115-1086</f>
        <v>6</v>
      </c>
      <c r="T143" s="206" t="s">
        <v>7039</v>
      </c>
      <c r="U143" s="206">
        <v>1555</v>
      </c>
      <c r="V143" s="97">
        <f t="shared" si="47"/>
        <v>1585.7932602739727</v>
      </c>
      <c r="W143" s="32">
        <f t="shared" si="66"/>
        <v>1617.5091254794522</v>
      </c>
      <c r="X143" s="32">
        <f t="shared" si="67"/>
        <v>1649.2249906849318</v>
      </c>
      <c r="Y143" s="420"/>
      <c r="Z143" s="420">
        <v>93469</v>
      </c>
      <c r="AA143" s="420"/>
      <c r="AH143" s="20">
        <v>123</v>
      </c>
      <c r="AI143" s="115" t="s">
        <v>4733</v>
      </c>
      <c r="AJ143" s="115">
        <v>600000</v>
      </c>
      <c r="AK143" s="20">
        <v>1</v>
      </c>
      <c r="AL143" s="20">
        <f t="shared" si="63"/>
        <v>802</v>
      </c>
      <c r="AM143" s="115">
        <f t="shared" si="60"/>
        <v>481200000</v>
      </c>
      <c r="AN143" s="20"/>
    </row>
    <row r="144" spans="7:43">
      <c r="K144" s="94"/>
      <c r="L144" s="94"/>
      <c r="Q144" s="167"/>
      <c r="R144" s="206" t="s">
        <v>7037</v>
      </c>
      <c r="S144" s="206">
        <f>S115-1088</f>
        <v>4</v>
      </c>
      <c r="T144" s="206" t="s">
        <v>7038</v>
      </c>
      <c r="U144" s="206">
        <v>1496</v>
      </c>
      <c r="V144" s="97">
        <f t="shared" si="47"/>
        <v>1523.3296657534249</v>
      </c>
      <c r="W144" s="32">
        <f t="shared" si="66"/>
        <v>1553.7962590684936</v>
      </c>
      <c r="X144" s="32">
        <f t="shared" si="67"/>
        <v>1584.2628523835619</v>
      </c>
      <c r="Y144" s="420">
        <v>41361</v>
      </c>
      <c r="Z144" s="420"/>
      <c r="AA144" s="420"/>
      <c r="AH144" s="20">
        <v>124</v>
      </c>
      <c r="AI144" s="115" t="s">
        <v>4736</v>
      </c>
      <c r="AJ144" s="115">
        <v>30000</v>
      </c>
      <c r="AK144" s="20">
        <v>3</v>
      </c>
      <c r="AL144" s="20">
        <f t="shared" si="63"/>
        <v>801</v>
      </c>
      <c r="AM144" s="115">
        <f t="shared" si="60"/>
        <v>24030000</v>
      </c>
      <c r="AN144" s="20"/>
    </row>
    <row r="145" spans="5:44">
      <c r="Q145" s="167"/>
      <c r="R145" s="206" t="s">
        <v>7040</v>
      </c>
      <c r="S145" s="206">
        <f>S115-1092</f>
        <v>0</v>
      </c>
      <c r="T145" s="206" t="s">
        <v>7041</v>
      </c>
      <c r="U145" s="206">
        <v>1461</v>
      </c>
      <c r="V145" s="97">
        <f t="shared" si="47"/>
        <v>1483.2072000000001</v>
      </c>
      <c r="W145" s="32">
        <f t="shared" si="66"/>
        <v>1512.8713440000001</v>
      </c>
      <c r="X145" s="32">
        <f t="shared" si="67"/>
        <v>1542.5354880000002</v>
      </c>
      <c r="Y145" s="420">
        <v>1558</v>
      </c>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t="s">
        <v>7043</v>
      </c>
      <c r="S146" s="206">
        <f>S115-1095</f>
        <v>-3</v>
      </c>
      <c r="T146" s="206" t="s">
        <v>7046</v>
      </c>
      <c r="U146" s="206">
        <v>1370</v>
      </c>
      <c r="V146" s="97">
        <f t="shared" si="47"/>
        <v>1387.6711232876714</v>
      </c>
      <c r="W146" s="32">
        <f t="shared" si="66"/>
        <v>1415.4245457534248</v>
      </c>
      <c r="X146" s="32">
        <f t="shared" si="67"/>
        <v>1443.1779682191784</v>
      </c>
      <c r="Y146" s="422">
        <v>10526</v>
      </c>
      <c r="Z146" s="422"/>
      <c r="AA146" s="422"/>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c r="U147" s="206"/>
      <c r="V147" s="97"/>
      <c r="W147" s="32"/>
      <c r="X147" s="32"/>
      <c r="Y147" s="422"/>
      <c r="Z147" s="422"/>
      <c r="AA147" s="422"/>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206"/>
      <c r="S148" s="206"/>
      <c r="T148" s="206"/>
      <c r="U148" s="206"/>
      <c r="V148" s="97"/>
      <c r="W148" s="32"/>
      <c r="X148" s="32"/>
      <c r="Y148" s="422"/>
      <c r="Z148" s="422"/>
      <c r="AA148" s="422"/>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67"/>
      <c r="R149" s="206"/>
      <c r="S149" s="206"/>
      <c r="T149" s="206"/>
      <c r="U149" s="206"/>
      <c r="V149" s="97"/>
      <c r="W149" s="32"/>
      <c r="X149" s="32"/>
      <c r="Y149" s="413"/>
      <c r="Z149" s="413"/>
      <c r="AA149" s="413"/>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Q152" s="111">
        <f>SUM(N46:N53)-SUM(Q115:Q151)</f>
        <v>4553207611.3686695</v>
      </c>
      <c r="R152" s="110"/>
      <c r="S152" s="110"/>
      <c r="T152" s="110"/>
      <c r="U152" s="166"/>
      <c r="V152" s="97" t="s">
        <v>25</v>
      </c>
      <c r="W152" s="32"/>
      <c r="X152" s="32"/>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s="26"/>
      <c r="R153" s="179"/>
      <c r="S153" s="179"/>
      <c r="T153" t="s">
        <v>25</v>
      </c>
      <c r="U153" s="94" t="s">
        <v>25</v>
      </c>
      <c r="V153" s="94" t="s">
        <v>25</v>
      </c>
      <c r="W153" s="94"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t="s">
        <v>4514</v>
      </c>
      <c r="S154" s="32" t="s">
        <v>933</v>
      </c>
      <c r="T154" t="s">
        <v>25</v>
      </c>
      <c r="U154" s="94" t="s">
        <v>25</v>
      </c>
      <c r="V154" s="94" t="s">
        <v>25</v>
      </c>
      <c r="W154" s="94" t="s">
        <v>25</v>
      </c>
      <c r="X154" s="120" t="s">
        <v>25</v>
      </c>
      <c r="Y154" t="s">
        <v>25</v>
      </c>
      <c r="Z154" t="s">
        <v>25</v>
      </c>
      <c r="AA154" s="9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t="s">
        <v>25</v>
      </c>
      <c r="V158" s="94"/>
      <c r="W158"/>
      <c r="X158" t="s">
        <v>25</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s="94" t="s">
        <v>25</v>
      </c>
      <c r="R159" s="94"/>
      <c r="S159" s="94"/>
      <c r="T159" s="94"/>
      <c r="U159" s="279" t="s">
        <v>4406</v>
      </c>
      <c r="V159" s="279" t="s">
        <v>4419</v>
      </c>
      <c r="W159" s="279" t="s">
        <v>4420</v>
      </c>
      <c r="X159" t="s">
        <v>25</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s="94"/>
      <c r="R160" s="94"/>
      <c r="S160" s="94"/>
      <c r="T160" s="120">
        <f>V161-V166</f>
        <v>2600175</v>
      </c>
      <c r="U160" s="279" t="s">
        <v>743</v>
      </c>
      <c r="V160" s="279">
        <v>1493085</v>
      </c>
      <c r="W160" s="88">
        <f>V160*$T$526</f>
        <v>3665783264.6388097</v>
      </c>
      <c r="X160">
        <f>W160*100/$W$166</f>
        <v>34.590690097107895</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120"/>
      <c r="U161" s="279" t="s">
        <v>4408</v>
      </c>
      <c r="V161" s="279">
        <v>2600175</v>
      </c>
      <c r="W161" s="88">
        <f>V161*$T$526</f>
        <v>6383881694.7007151</v>
      </c>
      <c r="X161" s="94">
        <f>W161*100/$W$166</f>
        <v>60.238933231026714</v>
      </c>
      <c r="Y161" t="s">
        <v>25</v>
      </c>
      <c r="Z161" t="s">
        <v>25</v>
      </c>
      <c r="AA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f>V160-V166</f>
        <v>1493085</v>
      </c>
      <c r="U162" s="279" t="s">
        <v>4407</v>
      </c>
      <c r="V162" s="279">
        <v>48659</v>
      </c>
      <c r="W162" s="88">
        <f>V162*$T$526</f>
        <v>119466304.91503152</v>
      </c>
      <c r="X162" s="94">
        <f>W162*100/$W$166</f>
        <v>1.1272957597425284</v>
      </c>
      <c r="Y162" t="s">
        <v>25</v>
      </c>
      <c r="AA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t="s">
        <v>25</v>
      </c>
      <c r="T163" s="94"/>
      <c r="U163" s="279" t="s">
        <v>1069</v>
      </c>
      <c r="V163" s="279">
        <v>174517</v>
      </c>
      <c r="W163" s="88">
        <f>V163*$T$526</f>
        <v>428469576.74544394</v>
      </c>
      <c r="X163" s="94">
        <f>W163*100/$W$166</f>
        <v>4.0430809121228721</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T164" s="94"/>
      <c r="U164" s="279"/>
      <c r="V164" s="279"/>
      <c r="W164" s="279"/>
      <c r="X164" s="113"/>
      <c r="Y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t="s">
        <v>25</v>
      </c>
      <c r="S165" t="s">
        <v>25</v>
      </c>
      <c r="T165" s="94"/>
      <c r="U165" s="87"/>
      <c r="V165" s="87">
        <f>SUM(V160:V163)</f>
        <v>4316436</v>
      </c>
      <c r="W165" s="87"/>
      <c r="X165" s="112" t="s">
        <v>25</v>
      </c>
      <c r="Y165" t="s">
        <v>25</v>
      </c>
      <c r="Z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t="s">
        <v>25</v>
      </c>
      <c r="U166" s="87"/>
      <c r="V166" s="87">
        <f>V165-U523</f>
        <v>0</v>
      </c>
      <c r="W166" s="140">
        <f>SUM(W160:W163)</f>
        <v>10597600841</v>
      </c>
      <c r="X166" s="94"/>
      <c r="Y166" t="s">
        <v>25</v>
      </c>
      <c r="Z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t="s">
        <v>25</v>
      </c>
      <c r="U167" s="87"/>
      <c r="V167" s="87" t="s">
        <v>5833</v>
      </c>
      <c r="W167" s="140">
        <f>R178-W163</f>
        <v>64930923.25455606</v>
      </c>
      <c r="X167" s="94"/>
      <c r="Y167" t="s">
        <v>25</v>
      </c>
      <c r="Z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t="s">
        <v>25</v>
      </c>
      <c r="R168" s="94"/>
      <c r="S168" s="94"/>
      <c r="T168" s="94" t="s">
        <v>25</v>
      </c>
      <c r="U168" s="87"/>
      <c r="V168" s="87" t="s">
        <v>5832</v>
      </c>
      <c r="W168" s="140">
        <f>W162-W167</f>
        <v>54535381.660475463</v>
      </c>
      <c r="X168" s="94"/>
      <c r="Z168" t="s">
        <v>25</v>
      </c>
      <c r="AA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t="s">
        <v>25</v>
      </c>
      <c r="R169" s="94"/>
      <c r="S169" s="94" t="s">
        <v>25</v>
      </c>
      <c r="T169" s="94"/>
      <c r="U169" s="87"/>
      <c r="V169" s="87" t="s">
        <v>4921</v>
      </c>
      <c r="W169" s="140">
        <f>W160+W168-R177</f>
        <v>23825186.299284935</v>
      </c>
      <c r="X169" s="94"/>
      <c r="Y169" t="s">
        <v>25</v>
      </c>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Q170" s="94"/>
      <c r="R170" s="94"/>
      <c r="S170" s="94"/>
      <c r="T170" s="94"/>
      <c r="U170" s="87"/>
      <c r="V170" s="87"/>
      <c r="W170" s="140"/>
      <c r="X170" s="113"/>
      <c r="Y170" t="s">
        <v>25</v>
      </c>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4"/>
      <c r="V171" s="94"/>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94" t="s">
        <v>25</v>
      </c>
      <c r="V172" s="94"/>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S173" s="94" t="s">
        <v>25</v>
      </c>
      <c r="T173" s="94"/>
      <c r="V173" s="94"/>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4"/>
      <c r="R174" s="94"/>
      <c r="S174" s="94"/>
      <c r="T174" s="97" t="s">
        <v>180</v>
      </c>
      <c r="U174" s="97" t="s">
        <v>4434</v>
      </c>
      <c r="V174" s="97" t="s">
        <v>4435</v>
      </c>
      <c r="W174" s="97" t="s">
        <v>4445</v>
      </c>
      <c r="X174" s="97" t="s">
        <v>8</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4"/>
      <c r="R175" s="94"/>
      <c r="S175" s="94"/>
      <c r="T175" s="111" t="s">
        <v>4418</v>
      </c>
      <c r="U175" s="54">
        <v>1000000</v>
      </c>
      <c r="V175" s="111">
        <v>239.024</v>
      </c>
      <c r="W175" s="111">
        <f t="shared" ref="W175:W276" si="73">U175*V175</f>
        <v>239024000</v>
      </c>
      <c r="X175" s="97"/>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36" t="s">
        <v>4513</v>
      </c>
      <c r="R176" s="93">
        <f>SUM(N45:N53)</f>
        <v>6430924630</v>
      </c>
      <c r="T176" s="166" t="s">
        <v>4400</v>
      </c>
      <c r="U176" s="54">
        <v>5904</v>
      </c>
      <c r="V176" s="111">
        <v>237.148</v>
      </c>
      <c r="W176" s="111">
        <f t="shared" si="73"/>
        <v>1400121.7919999999</v>
      </c>
      <c r="X176" s="97" t="s">
        <v>743</v>
      </c>
      <c r="Z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4409</v>
      </c>
      <c r="R177" s="93">
        <f>SUM(N21:N26)</f>
        <v>3696493460</v>
      </c>
      <c r="T177" s="166" t="s">
        <v>4206</v>
      </c>
      <c r="U177" s="166">
        <v>1000</v>
      </c>
      <c r="V177" s="111">
        <v>247.393</v>
      </c>
      <c r="W177" s="111">
        <f t="shared" si="73"/>
        <v>247393</v>
      </c>
      <c r="X177" s="97" t="s">
        <v>743</v>
      </c>
      <c r="Y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4410</v>
      </c>
      <c r="R178" s="93">
        <f>SUM(N29:N33)</f>
        <v>493400500</v>
      </c>
      <c r="T178" s="386" t="s">
        <v>4446</v>
      </c>
      <c r="U178" s="386">
        <v>8071</v>
      </c>
      <c r="V178" s="90">
        <v>247.797</v>
      </c>
      <c r="W178" s="90">
        <f t="shared" si="73"/>
        <v>1999969.5870000001</v>
      </c>
      <c r="X178" s="89" t="s">
        <v>4407</v>
      </c>
      <c r="Y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t="s">
        <v>4411</v>
      </c>
      <c r="R179" s="93">
        <f>N44</f>
        <v>62</v>
      </c>
      <c r="T179" s="166" t="s">
        <v>4446</v>
      </c>
      <c r="U179" s="166">
        <v>53672</v>
      </c>
      <c r="V179" s="111">
        <v>247.797</v>
      </c>
      <c r="W179" s="111">
        <f t="shared" si="73"/>
        <v>13299760.584000001</v>
      </c>
      <c r="X179" s="97" t="s">
        <v>452</v>
      </c>
      <c r="Y179" t="s">
        <v>25</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4412</v>
      </c>
      <c r="R180" s="93">
        <f>N20</f>
        <v>217</v>
      </c>
      <c r="T180" s="386" t="s">
        <v>4454</v>
      </c>
      <c r="U180" s="386">
        <v>4099</v>
      </c>
      <c r="V180" s="90">
        <v>243.93</v>
      </c>
      <c r="W180" s="90">
        <f t="shared" si="73"/>
        <v>999869.07000000007</v>
      </c>
      <c r="X180" s="89" t="s">
        <v>4407</v>
      </c>
      <c r="AA18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4413</v>
      </c>
      <c r="R181" s="93">
        <f>N28</f>
        <v>169</v>
      </c>
      <c r="T181" s="166" t="s">
        <v>4454</v>
      </c>
      <c r="U181" s="166">
        <v>9301</v>
      </c>
      <c r="V181" s="111">
        <v>243.93</v>
      </c>
      <c r="W181" s="111">
        <f t="shared" si="73"/>
        <v>2268792.9300000002</v>
      </c>
      <c r="X181" s="97" t="s">
        <v>452</v>
      </c>
      <c r="Z181" t="s">
        <v>25</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c r="R182" s="93"/>
      <c r="S182" t="s">
        <v>25</v>
      </c>
      <c r="T182" s="386" t="s">
        <v>4458</v>
      </c>
      <c r="U182" s="386">
        <v>8334</v>
      </c>
      <c r="V182" s="90">
        <v>239.97</v>
      </c>
      <c r="W182" s="90">
        <f t="shared" si="73"/>
        <v>1999909.98</v>
      </c>
      <c r="X182" s="89" t="s">
        <v>4407</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97" t="s">
        <v>5052</v>
      </c>
      <c r="R183" s="93">
        <v>0</v>
      </c>
      <c r="T183" s="166" t="s">
        <v>4205</v>
      </c>
      <c r="U183" s="166">
        <v>29041</v>
      </c>
      <c r="V183" s="111">
        <v>233.45</v>
      </c>
      <c r="W183" s="111">
        <f t="shared" si="73"/>
        <v>6779621.4499999993</v>
      </c>
      <c r="X183" s="97" t="s">
        <v>743</v>
      </c>
      <c r="Y183" s="120" t="s">
        <v>25</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t="s">
        <v>6527</v>
      </c>
      <c r="R184" s="93">
        <v>-1967</v>
      </c>
      <c r="S184" s="94"/>
      <c r="T184" s="386" t="s">
        <v>977</v>
      </c>
      <c r="U184" s="386">
        <v>12337</v>
      </c>
      <c r="V184" s="90">
        <v>243.16300000000001</v>
      </c>
      <c r="W184" s="90">
        <f t="shared" si="73"/>
        <v>2999901.9310000003</v>
      </c>
      <c r="X184" s="89" t="s">
        <v>4407</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7044</v>
      </c>
      <c r="R185" s="93">
        <f>-(10*P53+8479*P48)</f>
        <v>-23216230</v>
      </c>
      <c r="S185" s="94"/>
      <c r="T185" s="166" t="s">
        <v>4531</v>
      </c>
      <c r="U185" s="166">
        <v>-16118</v>
      </c>
      <c r="V185" s="111">
        <v>248.17</v>
      </c>
      <c r="W185" s="111">
        <f t="shared" si="73"/>
        <v>-4000004.0599999996</v>
      </c>
      <c r="X185" s="97" t="s">
        <v>743</v>
      </c>
      <c r="Y185" t="s">
        <v>25</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36"/>
      <c r="R186" s="93"/>
      <c r="S186" s="113" t="s">
        <v>25</v>
      </c>
      <c r="T186" s="166" t="s">
        <v>4552</v>
      </c>
      <c r="U186" s="166">
        <v>101681</v>
      </c>
      <c r="V186" s="111">
        <v>246.5711</v>
      </c>
      <c r="W186" s="111">
        <f t="shared" si="73"/>
        <v>25071596.019099999</v>
      </c>
      <c r="X186" s="97" t="s">
        <v>452</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20" t="s">
        <v>25</v>
      </c>
      <c r="T187" s="166" t="s">
        <v>4556</v>
      </c>
      <c r="U187" s="166">
        <v>66606</v>
      </c>
      <c r="V187" s="111">
        <v>251.131</v>
      </c>
      <c r="W187" s="111">
        <f t="shared" si="73"/>
        <v>16726831.386</v>
      </c>
      <c r="X187" s="97" t="s">
        <v>743</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5053</v>
      </c>
      <c r="R188" s="93">
        <v>0</v>
      </c>
      <c r="S188" s="120"/>
      <c r="T188" s="166" t="s">
        <v>4561</v>
      </c>
      <c r="U188" s="166">
        <v>172025</v>
      </c>
      <c r="V188" s="111">
        <v>245.52809999999999</v>
      </c>
      <c r="W188" s="111">
        <f t="shared" si="73"/>
        <v>42236971.402499996</v>
      </c>
      <c r="X188" s="97" t="s">
        <v>452</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7"/>
      <c r="R189" s="93"/>
      <c r="S189" s="113"/>
      <c r="T189" s="166" t="s">
        <v>4561</v>
      </c>
      <c r="U189" s="166">
        <v>189227</v>
      </c>
      <c r="V189" s="111">
        <v>245.52809999999999</v>
      </c>
      <c r="W189" s="111">
        <f t="shared" si="73"/>
        <v>46460545.778700002</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Q190" s="97"/>
      <c r="R190" s="93"/>
      <c r="S190" s="113"/>
      <c r="T190" s="166" t="s">
        <v>4562</v>
      </c>
      <c r="U190" s="166">
        <v>79720</v>
      </c>
      <c r="V190" s="111">
        <v>246.6568</v>
      </c>
      <c r="W190" s="111">
        <f t="shared" si="73"/>
        <v>19663480.096000001</v>
      </c>
      <c r="X190" s="97" t="s">
        <v>452</v>
      </c>
      <c r="Y190" s="8" t="s">
        <v>25</v>
      </c>
      <c r="Z190" t="s">
        <v>25</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97" t="s">
        <v>4417</v>
      </c>
      <c r="R191" s="93">
        <f>SUM(R176:R190)</f>
        <v>10597600841</v>
      </c>
      <c r="T191" s="166" t="s">
        <v>4562</v>
      </c>
      <c r="U191" s="166">
        <v>79720</v>
      </c>
      <c r="V191" s="111">
        <v>246.6568</v>
      </c>
      <c r="W191" s="111">
        <f t="shared" si="73"/>
        <v>19663480.096000001</v>
      </c>
      <c r="X191" s="97" t="s">
        <v>743</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94"/>
      <c r="T192" s="166" t="s">
        <v>4583</v>
      </c>
      <c r="U192" s="166">
        <v>17769</v>
      </c>
      <c r="V192" s="111">
        <v>246.17877999999999</v>
      </c>
      <c r="W192" s="111">
        <f t="shared" si="73"/>
        <v>4374350.7418200001</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T193" s="166" t="s">
        <v>4583</v>
      </c>
      <c r="U193" s="166">
        <v>17769</v>
      </c>
      <c r="V193" s="111">
        <v>246.17877999999999</v>
      </c>
      <c r="W193" s="111">
        <f t="shared" si="73"/>
        <v>4374350.7418200001</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t="s">
        <v>8</v>
      </c>
      <c r="R194" s="206" t="s">
        <v>4407</v>
      </c>
      <c r="S194" s="206"/>
      <c r="T194" s="386" t="s">
        <v>4585</v>
      </c>
      <c r="U194" s="386">
        <v>12438</v>
      </c>
      <c r="V194" s="90">
        <v>241.20465999999999</v>
      </c>
      <c r="W194" s="90">
        <f t="shared" si="73"/>
        <v>3000103.5610799999</v>
      </c>
      <c r="X194" s="89" t="s">
        <v>4407</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71" t="s">
        <v>180</v>
      </c>
      <c r="S195" s="206" t="s">
        <v>267</v>
      </c>
      <c r="T195" s="166" t="s">
        <v>4594</v>
      </c>
      <c r="U195" s="166">
        <v>27363</v>
      </c>
      <c r="V195" s="111">
        <v>239.3886</v>
      </c>
      <c r="W195" s="111">
        <f t="shared" si="73"/>
        <v>6550390.2617999995</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4400</v>
      </c>
      <c r="S196" s="111">
        <v>3000000</v>
      </c>
      <c r="T196" s="166" t="s">
        <v>4594</v>
      </c>
      <c r="U196" s="166">
        <v>27363</v>
      </c>
      <c r="V196" s="111">
        <v>239.3886</v>
      </c>
      <c r="W196" s="111">
        <f t="shared" si="73"/>
        <v>6550390.2617999995</v>
      </c>
      <c r="X196" s="97" t="s">
        <v>452</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4446</v>
      </c>
      <c r="S197" s="111">
        <v>2000000</v>
      </c>
      <c r="T197" s="204" t="s">
        <v>4596</v>
      </c>
      <c r="U197" s="204">
        <v>27437</v>
      </c>
      <c r="V197" s="111">
        <v>242.4015</v>
      </c>
      <c r="W197" s="111">
        <f t="shared" si="73"/>
        <v>6650769.9555000002</v>
      </c>
      <c r="X197" s="97" t="s">
        <v>743</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4454</v>
      </c>
      <c r="S198" s="111">
        <v>1000000</v>
      </c>
      <c r="T198" s="204" t="s">
        <v>4596</v>
      </c>
      <c r="U198" s="204">
        <v>29104</v>
      </c>
      <c r="V198" s="111">
        <v>242.4015</v>
      </c>
      <c r="W198" s="111">
        <f t="shared" si="73"/>
        <v>7054853.2560000001</v>
      </c>
      <c r="X198" s="97" t="s">
        <v>452</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c r="R199" s="206" t="s">
        <v>4458</v>
      </c>
      <c r="S199" s="111">
        <v>2000000</v>
      </c>
      <c r="T199" s="206" t="s">
        <v>4612</v>
      </c>
      <c r="U199" s="206">
        <v>8991</v>
      </c>
      <c r="V199" s="111">
        <v>238.64867000000001</v>
      </c>
      <c r="W199" s="111">
        <f t="shared" si="73"/>
        <v>2145690.19197</v>
      </c>
      <c r="X199" s="97" t="s">
        <v>743</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c r="R200" s="206" t="s">
        <v>977</v>
      </c>
      <c r="S200" s="111">
        <v>3000000</v>
      </c>
      <c r="T200" s="206" t="s">
        <v>4612</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c r="R201" s="206" t="s">
        <v>4585</v>
      </c>
      <c r="S201" s="111">
        <v>3000000</v>
      </c>
      <c r="T201" s="206" t="s">
        <v>4623</v>
      </c>
      <c r="U201" s="206">
        <v>18170</v>
      </c>
      <c r="V201" s="111">
        <v>240.48475999999999</v>
      </c>
      <c r="W201" s="111">
        <f t="shared" si="73"/>
        <v>4369608.0892000003</v>
      </c>
      <c r="X201" s="97" t="s">
        <v>743</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206" t="s">
        <v>4752</v>
      </c>
      <c r="R202" s="206" t="s">
        <v>4747</v>
      </c>
      <c r="S202" s="111">
        <v>-800000</v>
      </c>
      <c r="T202" s="206" t="s">
        <v>4623</v>
      </c>
      <c r="U202" s="206">
        <v>18170</v>
      </c>
      <c r="V202" s="111">
        <v>240.48475999999999</v>
      </c>
      <c r="W202" s="111">
        <f t="shared" si="73"/>
        <v>4369608.0892000003</v>
      </c>
      <c r="X202" s="97" t="s">
        <v>452</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206" t="s">
        <v>4753</v>
      </c>
      <c r="R203" s="206" t="s">
        <v>4747</v>
      </c>
      <c r="S203" s="111">
        <v>-900000</v>
      </c>
      <c r="T203" s="206" t="s">
        <v>4625</v>
      </c>
      <c r="U203" s="206">
        <v>36797</v>
      </c>
      <c r="V203" s="111">
        <v>239.0822</v>
      </c>
      <c r="W203" s="111">
        <f t="shared" si="73"/>
        <v>8797507.7134000007</v>
      </c>
      <c r="X203" s="97" t="s">
        <v>743</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206" t="s">
        <v>4753</v>
      </c>
      <c r="R204" s="206" t="s">
        <v>964</v>
      </c>
      <c r="S204" s="111">
        <v>-1100000</v>
      </c>
      <c r="T204" s="206" t="s">
        <v>4625</v>
      </c>
      <c r="U204" s="206">
        <v>36797</v>
      </c>
      <c r="V204" s="111">
        <v>239.0822</v>
      </c>
      <c r="W204" s="111">
        <f t="shared" si="73"/>
        <v>8797507.7134000007</v>
      </c>
      <c r="X204" s="97" t="s">
        <v>452</v>
      </c>
      <c r="Z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8" t="s">
        <v>1069</v>
      </c>
      <c r="R205" s="188" t="s">
        <v>4775</v>
      </c>
      <c r="S205" s="193">
        <v>30000000</v>
      </c>
      <c r="T205" s="206" t="s">
        <v>4634</v>
      </c>
      <c r="U205" s="206">
        <v>28066</v>
      </c>
      <c r="V205" s="111">
        <v>237.56970000000001</v>
      </c>
      <c r="W205" s="111">
        <f t="shared" si="73"/>
        <v>6667631.2002000008</v>
      </c>
      <c r="X205" s="97" t="s">
        <v>743</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4850</v>
      </c>
      <c r="R206" s="19" t="s">
        <v>4848</v>
      </c>
      <c r="S206" s="115">
        <v>2000000</v>
      </c>
      <c r="T206" s="206" t="s">
        <v>4634</v>
      </c>
      <c r="U206" s="206">
        <v>28066</v>
      </c>
      <c r="V206" s="111">
        <v>237.56970000000001</v>
      </c>
      <c r="W206" s="111">
        <f t="shared" si="73"/>
        <v>6667631.2002000008</v>
      </c>
      <c r="X206" s="97" t="s">
        <v>452</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4871</v>
      </c>
      <c r="R207" s="187" t="s">
        <v>4870</v>
      </c>
      <c r="S207" s="186">
        <v>480105</v>
      </c>
      <c r="T207" s="206" t="s">
        <v>3666</v>
      </c>
      <c r="U207" s="206">
        <v>37457</v>
      </c>
      <c r="V207" s="111">
        <v>239.77</v>
      </c>
      <c r="W207" s="111">
        <f t="shared" si="73"/>
        <v>8981064.8900000006</v>
      </c>
      <c r="X207" s="97" t="s">
        <v>743</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87"/>
      <c r="R208" s="187" t="s">
        <v>4911</v>
      </c>
      <c r="S208" s="186">
        <v>30500000</v>
      </c>
      <c r="T208" s="206" t="s">
        <v>3666</v>
      </c>
      <c r="U208" s="206">
        <v>37457</v>
      </c>
      <c r="V208" s="111">
        <v>239.77</v>
      </c>
      <c r="W208" s="111">
        <f t="shared" si="73"/>
        <v>8981064.8900000006</v>
      </c>
      <c r="X208" s="97" t="s">
        <v>452</v>
      </c>
      <c r="Y208" s="94" t="s">
        <v>25</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4934</v>
      </c>
      <c r="S209" s="115">
        <v>-400000</v>
      </c>
      <c r="T209" s="206" t="s">
        <v>4646</v>
      </c>
      <c r="U209" s="206">
        <v>38412</v>
      </c>
      <c r="V209" s="111">
        <v>239.03</v>
      </c>
      <c r="W209" s="111">
        <f t="shared" si="73"/>
        <v>9181620.3599999994</v>
      </c>
      <c r="X209" s="97" t="s">
        <v>743</v>
      </c>
      <c r="Y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87" t="s">
        <v>5048</v>
      </c>
      <c r="R210" s="187" t="s">
        <v>4969</v>
      </c>
      <c r="S210" s="186">
        <v>-349550</v>
      </c>
      <c r="T210" s="206" t="s">
        <v>4646</v>
      </c>
      <c r="U210" s="206">
        <v>38412</v>
      </c>
      <c r="V210" s="111">
        <v>239.03</v>
      </c>
      <c r="W210" s="111">
        <f t="shared" si="73"/>
        <v>9181620.3599999994</v>
      </c>
      <c r="X210" s="97" t="s">
        <v>452</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5109</v>
      </c>
      <c r="S211" s="115">
        <v>-200000</v>
      </c>
      <c r="T211" s="206" t="s">
        <v>4649</v>
      </c>
      <c r="U211" s="206">
        <v>49555</v>
      </c>
      <c r="V211" s="111">
        <v>238.345</v>
      </c>
      <c r="W211" s="111">
        <f t="shared" si="73"/>
        <v>11811186.475</v>
      </c>
      <c r="X211" s="97" t="s">
        <v>743</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4939</v>
      </c>
      <c r="R212" s="19" t="s">
        <v>5141</v>
      </c>
      <c r="S212" s="115">
        <v>-122000</v>
      </c>
      <c r="T212" s="206" t="s">
        <v>4649</v>
      </c>
      <c r="U212" s="206">
        <v>49555</v>
      </c>
      <c r="V212" s="111">
        <v>238.345</v>
      </c>
      <c r="W212" s="111">
        <f t="shared" si="73"/>
        <v>11811186.475</v>
      </c>
      <c r="X212" s="97" t="s">
        <v>452</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9" t="s">
        <v>4939</v>
      </c>
      <c r="R213" s="19" t="s">
        <v>5149</v>
      </c>
      <c r="S213" s="115">
        <v>-700000</v>
      </c>
      <c r="T213" s="206" t="s">
        <v>4662</v>
      </c>
      <c r="U213" s="206">
        <v>160187</v>
      </c>
      <c r="V213" s="111">
        <v>257.49799999999999</v>
      </c>
      <c r="W213" s="111">
        <f t="shared" si="73"/>
        <v>41247832.126000002</v>
      </c>
      <c r="X213" s="97" t="s">
        <v>743</v>
      </c>
      <c r="Y213" t="s">
        <v>25</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4939</v>
      </c>
      <c r="R214" s="19" t="s">
        <v>5159</v>
      </c>
      <c r="S214" s="115">
        <v>-60000</v>
      </c>
      <c r="T214" s="206" t="s">
        <v>4662</v>
      </c>
      <c r="U214" s="206">
        <v>160187</v>
      </c>
      <c r="V214" s="111">
        <v>257.49799999999999</v>
      </c>
      <c r="W214" s="111">
        <f t="shared" si="73"/>
        <v>41247832.126000002</v>
      </c>
      <c r="X214" s="97" t="s">
        <v>452</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19" t="s">
        <v>4407</v>
      </c>
      <c r="R215" s="19" t="s">
        <v>5218</v>
      </c>
      <c r="S215" s="115">
        <v>700000</v>
      </c>
      <c r="T215" s="206" t="s">
        <v>4669</v>
      </c>
      <c r="U215" s="206">
        <v>144401</v>
      </c>
      <c r="V215" s="111">
        <v>258.5061</v>
      </c>
      <c r="W215" s="111">
        <f t="shared" si="73"/>
        <v>37328539.346100003</v>
      </c>
      <c r="X215" s="97" t="s">
        <v>743</v>
      </c>
      <c r="Z215" t="s">
        <v>25</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1069</v>
      </c>
      <c r="R216" s="187" t="s">
        <v>5237</v>
      </c>
      <c r="S216" s="186">
        <v>40000000</v>
      </c>
      <c r="T216" s="206" t="s">
        <v>4669</v>
      </c>
      <c r="U216" s="206">
        <v>144401</v>
      </c>
      <c r="V216" s="111">
        <v>258.5061</v>
      </c>
      <c r="W216" s="111">
        <f t="shared" si="73"/>
        <v>37328539.346100003</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9" t="s">
        <v>4407</v>
      </c>
      <c r="R217" s="19" t="s">
        <v>5241</v>
      </c>
      <c r="S217" s="115">
        <v>-800000</v>
      </c>
      <c r="T217" s="166" t="s">
        <v>4675</v>
      </c>
      <c r="U217" s="166">
        <v>196500</v>
      </c>
      <c r="V217" s="111">
        <v>254.452</v>
      </c>
      <c r="W217" s="111">
        <f t="shared" si="73"/>
        <v>49999818</v>
      </c>
      <c r="X217" s="97" t="s">
        <v>4678</v>
      </c>
      <c r="Y217" t="s">
        <v>25</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206" t="s">
        <v>4407</v>
      </c>
      <c r="R218" s="206" t="s">
        <v>5324</v>
      </c>
      <c r="S218" s="115">
        <v>700000</v>
      </c>
      <c r="T218" s="206" t="s">
        <v>4675</v>
      </c>
      <c r="U218" s="206">
        <v>2561</v>
      </c>
      <c r="V218" s="111">
        <v>254.536</v>
      </c>
      <c r="W218" s="111">
        <f t="shared" si="73"/>
        <v>651866.696</v>
      </c>
      <c r="X218" s="97" t="s">
        <v>4679</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5340</v>
      </c>
      <c r="R219" s="187" t="s">
        <v>5338</v>
      </c>
      <c r="S219" s="186">
        <v>-26000000</v>
      </c>
      <c r="T219" s="206" t="s">
        <v>4719</v>
      </c>
      <c r="U219" s="206">
        <v>-11795</v>
      </c>
      <c r="V219" s="111">
        <v>254.334</v>
      </c>
      <c r="W219" s="111">
        <f t="shared" si="73"/>
        <v>-2999869.5300000003</v>
      </c>
      <c r="X219" s="97" t="s">
        <v>4720</v>
      </c>
      <c r="AA219" t="s">
        <v>25</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5340</v>
      </c>
      <c r="R220" s="187" t="s">
        <v>5342</v>
      </c>
      <c r="S220" s="186">
        <v>-95900000</v>
      </c>
      <c r="T220" s="206" t="s">
        <v>4719</v>
      </c>
      <c r="U220" s="206">
        <v>11795</v>
      </c>
      <c r="V220" s="111">
        <v>254.334</v>
      </c>
      <c r="W220" s="111">
        <f t="shared" si="73"/>
        <v>2999869.5300000003</v>
      </c>
      <c r="X220" s="97" t="s">
        <v>4721</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87" t="s">
        <v>5340</v>
      </c>
      <c r="R221" s="187" t="s">
        <v>5343</v>
      </c>
      <c r="S221" s="186">
        <v>-28950000</v>
      </c>
      <c r="T221" s="206" t="s">
        <v>4733</v>
      </c>
      <c r="U221" s="206">
        <v>260</v>
      </c>
      <c r="V221" s="111">
        <v>263.19</v>
      </c>
      <c r="W221" s="111">
        <f t="shared" si="73"/>
        <v>68429.399999999994</v>
      </c>
      <c r="X221" s="97" t="s">
        <v>452</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5359</v>
      </c>
      <c r="R222" s="187" t="s">
        <v>5357</v>
      </c>
      <c r="S222" s="186">
        <v>1896188</v>
      </c>
      <c r="T222" s="206" t="s">
        <v>4742</v>
      </c>
      <c r="U222" s="206">
        <v>15257</v>
      </c>
      <c r="V222" s="111">
        <v>262.19018</v>
      </c>
      <c r="W222" s="111">
        <f t="shared" si="73"/>
        <v>4000235.57626</v>
      </c>
      <c r="X222" s="97" t="s">
        <v>452</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87" t="s">
        <v>5526</v>
      </c>
      <c r="R223" s="187" t="s">
        <v>4210</v>
      </c>
      <c r="S223" s="186">
        <v>13752871.322800001</v>
      </c>
      <c r="T223" s="206" t="s">
        <v>4742</v>
      </c>
      <c r="U223" s="206">
        <v>8444</v>
      </c>
      <c r="V223" s="111">
        <v>266.43029999999999</v>
      </c>
      <c r="W223" s="111">
        <f t="shared" si="73"/>
        <v>2249737.4531999999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9" t="s">
        <v>5538</v>
      </c>
      <c r="R224" s="19" t="s">
        <v>5535</v>
      </c>
      <c r="S224" s="115">
        <v>3123901.3702000002</v>
      </c>
      <c r="T224" s="386" t="s">
        <v>4747</v>
      </c>
      <c r="U224" s="386">
        <v>-6209</v>
      </c>
      <c r="V224" s="90">
        <v>273.79649999999998</v>
      </c>
      <c r="W224" s="90">
        <f t="shared" si="73"/>
        <v>-1700002.4685</v>
      </c>
      <c r="X224" s="89" t="s">
        <v>6688</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5885</v>
      </c>
      <c r="R225" s="187" t="s">
        <v>5610</v>
      </c>
      <c r="S225" s="186">
        <v>-322076.40905199997</v>
      </c>
      <c r="T225" s="206" t="s">
        <v>4747</v>
      </c>
      <c r="U225" s="206">
        <v>-8014</v>
      </c>
      <c r="V225" s="111">
        <v>273.79649999999998</v>
      </c>
      <c r="W225" s="111">
        <f t="shared" si="73"/>
        <v>-2194205.1510000001</v>
      </c>
      <c r="X225" s="97" t="s">
        <v>743</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9" t="s">
        <v>4939</v>
      </c>
      <c r="R226" s="19" t="s">
        <v>5610</v>
      </c>
      <c r="S226" s="115">
        <v>-1500000</v>
      </c>
      <c r="T226" s="206" t="s">
        <v>4756</v>
      </c>
      <c r="U226" s="206">
        <v>-9176</v>
      </c>
      <c r="V226" s="111">
        <v>273.79649999999998</v>
      </c>
      <c r="W226" s="111">
        <f t="shared" si="73"/>
        <v>-2512356.6839999999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5624</v>
      </c>
      <c r="R227" s="187" t="s">
        <v>5610</v>
      </c>
      <c r="S227" s="186">
        <v>15000000</v>
      </c>
      <c r="T227" s="206" t="s">
        <v>4756</v>
      </c>
      <c r="U227" s="206">
        <v>1087</v>
      </c>
      <c r="V227" s="111">
        <v>273.79649999999998</v>
      </c>
      <c r="W227" s="111">
        <f t="shared" si="73"/>
        <v>297616.79550000001</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5639</v>
      </c>
      <c r="R228" s="187" t="s">
        <v>5634</v>
      </c>
      <c r="S228" s="186">
        <v>-1500000</v>
      </c>
      <c r="T228" s="386" t="s">
        <v>964</v>
      </c>
      <c r="U228" s="386">
        <v>-4017</v>
      </c>
      <c r="V228" s="90">
        <v>273.79649999999998</v>
      </c>
      <c r="W228" s="90">
        <f t="shared" si="73"/>
        <v>-1099840.5404999999</v>
      </c>
      <c r="X228" s="89" t="s">
        <v>4407</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5721</v>
      </c>
      <c r="R229" s="187" t="s">
        <v>5718</v>
      </c>
      <c r="S229" s="186">
        <v>-70000</v>
      </c>
      <c r="T229" s="206" t="s">
        <v>964</v>
      </c>
      <c r="U229" s="206">
        <v>4017</v>
      </c>
      <c r="V229" s="111">
        <v>273.79649999999998</v>
      </c>
      <c r="W229" s="111">
        <f t="shared" si="73"/>
        <v>1099840.5404999999</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5728</v>
      </c>
      <c r="R230" s="187" t="s">
        <v>5725</v>
      </c>
      <c r="S230" s="186">
        <v>1300000</v>
      </c>
      <c r="T230" s="206" t="s">
        <v>4762</v>
      </c>
      <c r="U230" s="206">
        <v>3137</v>
      </c>
      <c r="V230" s="111">
        <v>283.69110000000001</v>
      </c>
      <c r="W230" s="111">
        <f t="shared" si="73"/>
        <v>889938.98070000007</v>
      </c>
      <c r="X230" s="97" t="s">
        <v>452</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60</v>
      </c>
      <c r="R231" s="187" t="s">
        <v>5736</v>
      </c>
      <c r="S231" s="186">
        <v>90000000</v>
      </c>
      <c r="T231" s="206" t="s">
        <v>4775</v>
      </c>
      <c r="U231" s="206">
        <v>101933</v>
      </c>
      <c r="V231" s="111">
        <v>294.30973999999998</v>
      </c>
      <c r="W231" s="111">
        <f t="shared" si="73"/>
        <v>29999874.727419998</v>
      </c>
      <c r="X231" s="97" t="s">
        <v>1069</v>
      </c>
      <c r="Y231" t="s">
        <v>25</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87" t="s">
        <v>5827</v>
      </c>
      <c r="R232" s="187" t="s">
        <v>5823</v>
      </c>
      <c r="S232" s="186">
        <v>33832510.64875</v>
      </c>
      <c r="T232" s="206" t="s">
        <v>4782</v>
      </c>
      <c r="U232" s="206">
        <v>3407</v>
      </c>
      <c r="V232" s="111">
        <v>293.43799999999999</v>
      </c>
      <c r="W232" s="111">
        <f t="shared" si="73"/>
        <v>999743.26599999995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5850</v>
      </c>
      <c r="R233" s="187" t="s">
        <v>5846</v>
      </c>
      <c r="S233" s="186">
        <v>21634932</v>
      </c>
      <c r="T233" s="206" t="s">
        <v>4783</v>
      </c>
      <c r="U233" s="206">
        <v>68796</v>
      </c>
      <c r="V233" s="111">
        <v>293.53250000000003</v>
      </c>
      <c r="W233" s="111">
        <f t="shared" si="73"/>
        <v>20193861.870000001</v>
      </c>
      <c r="X233" s="97" t="s">
        <v>743</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4735</v>
      </c>
      <c r="R234" s="187" t="s">
        <v>5846</v>
      </c>
      <c r="S234" s="186">
        <v>-22520813.151772</v>
      </c>
      <c r="T234" s="206" t="s">
        <v>4783</v>
      </c>
      <c r="U234" s="206">
        <v>154791</v>
      </c>
      <c r="V234" s="111">
        <v>293.53250000000003</v>
      </c>
      <c r="W234" s="111">
        <f t="shared" si="73"/>
        <v>45436189.207500003</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6435</v>
      </c>
      <c r="R235" s="19" t="s">
        <v>6432</v>
      </c>
      <c r="S235" s="115">
        <v>-6000000</v>
      </c>
      <c r="T235" s="206" t="s">
        <v>4783</v>
      </c>
      <c r="U235" s="206">
        <v>-11923</v>
      </c>
      <c r="V235" s="111">
        <v>293.53250000000003</v>
      </c>
      <c r="W235" s="111">
        <f t="shared" si="73"/>
        <v>-3499787.9975000005</v>
      </c>
      <c r="X235" s="97" t="s">
        <v>452</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87" t="s">
        <v>5375</v>
      </c>
      <c r="R236" s="187" t="s">
        <v>6528</v>
      </c>
      <c r="S236" s="186">
        <v>130888.351165</v>
      </c>
      <c r="T236" s="206" t="s">
        <v>4795</v>
      </c>
      <c r="U236" s="206">
        <v>8424</v>
      </c>
      <c r="V236" s="111">
        <v>299.15170000000001</v>
      </c>
      <c r="W236" s="111">
        <f t="shared" si="73"/>
        <v>2520053.9208</v>
      </c>
      <c r="X236" s="97" t="s">
        <v>452</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87" t="s">
        <v>6638</v>
      </c>
      <c r="R237" s="187" t="s">
        <v>6634</v>
      </c>
      <c r="S237" s="186">
        <v>50000000</v>
      </c>
      <c r="T237" s="206" t="s">
        <v>4830</v>
      </c>
      <c r="U237" s="206">
        <v>15943</v>
      </c>
      <c r="V237" s="111">
        <v>307.34415000000001</v>
      </c>
      <c r="W237" s="111">
        <f t="shared" si="73"/>
        <v>4899987.78345</v>
      </c>
      <c r="X237" s="97" t="s">
        <v>452</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t="s">
        <v>6675</v>
      </c>
      <c r="R238" s="19" t="s">
        <v>6673</v>
      </c>
      <c r="S238" s="115">
        <v>96000</v>
      </c>
      <c r="T238" s="206" t="s">
        <v>4843</v>
      </c>
      <c r="U238" s="206">
        <v>3741</v>
      </c>
      <c r="V238" s="111">
        <v>307.34415000000001</v>
      </c>
      <c r="W238" s="111">
        <f t="shared" si="73"/>
        <v>1149774.4651500001</v>
      </c>
      <c r="X238" s="97" t="s">
        <v>452</v>
      </c>
      <c r="Z238" t="s">
        <v>25</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4848</v>
      </c>
      <c r="U239" s="206">
        <v>-6207</v>
      </c>
      <c r="V239" s="111">
        <v>322.214</v>
      </c>
      <c r="W239" s="111">
        <f t="shared" si="73"/>
        <v>-1999982.298</v>
      </c>
      <c r="X239" s="97" t="s">
        <v>743</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19"/>
      <c r="R240" s="19"/>
      <c r="S240" s="115"/>
      <c r="T240" s="206" t="s">
        <v>4848</v>
      </c>
      <c r="U240" s="206">
        <v>6207</v>
      </c>
      <c r="V240" s="111">
        <v>322.214</v>
      </c>
      <c r="W240" s="111">
        <f t="shared" si="73"/>
        <v>1999982.298</v>
      </c>
      <c r="X240" s="97" t="s">
        <v>4407</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19"/>
      <c r="R241" s="19"/>
      <c r="S241" s="115"/>
      <c r="T241" s="206" t="s">
        <v>4802</v>
      </c>
      <c r="U241" s="206">
        <v>776</v>
      </c>
      <c r="V241" s="111">
        <v>322.214</v>
      </c>
      <c r="W241" s="111">
        <f t="shared" si="73"/>
        <v>250038.06400000001</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19"/>
      <c r="R242" s="19"/>
      <c r="S242" s="115"/>
      <c r="T242" s="206" t="s">
        <v>4870</v>
      </c>
      <c r="U242" s="206">
        <v>1524</v>
      </c>
      <c r="V242" s="111">
        <v>314.95999999999998</v>
      </c>
      <c r="W242" s="111">
        <f t="shared" si="73"/>
        <v>479999.04</v>
      </c>
      <c r="X242" s="97" t="s">
        <v>1069</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206" t="s">
        <v>25</v>
      </c>
      <c r="R243" s="206"/>
      <c r="S243" s="111"/>
      <c r="T243" s="206" t="s">
        <v>4877</v>
      </c>
      <c r="U243" s="206">
        <v>4435</v>
      </c>
      <c r="V243" s="111">
        <v>316.4375</v>
      </c>
      <c r="W243" s="111">
        <f t="shared" si="73"/>
        <v>1403400.3125</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206"/>
      <c r="R244" s="206"/>
      <c r="S244" s="111">
        <f>SUM(S196:S243)</f>
        <v>160952957.13209102</v>
      </c>
      <c r="T244" s="206" t="s">
        <v>4880</v>
      </c>
      <c r="U244" s="206">
        <v>624</v>
      </c>
      <c r="V244" s="111">
        <v>320.5</v>
      </c>
      <c r="W244" s="111">
        <f t="shared" si="73"/>
        <v>199992</v>
      </c>
      <c r="X244" s="97" t="s">
        <v>452</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41"/>
      <c r="R245" s="206"/>
      <c r="S245" s="206" t="s">
        <v>6</v>
      </c>
      <c r="T245" s="206" t="s">
        <v>4885</v>
      </c>
      <c r="U245" s="206">
        <v>1086</v>
      </c>
      <c r="V245" s="111">
        <v>317.55</v>
      </c>
      <c r="W245" s="111">
        <f t="shared" si="73"/>
        <v>344859.3</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Q246" s="94"/>
      <c r="T246" s="206" t="s">
        <v>4890</v>
      </c>
      <c r="U246" s="206">
        <v>2820</v>
      </c>
      <c r="V246" s="111">
        <v>319.1096</v>
      </c>
      <c r="W246" s="111">
        <f t="shared" si="73"/>
        <v>899889.07200000004</v>
      </c>
      <c r="X246" s="97" t="s">
        <v>452</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4" t="s">
        <v>25</v>
      </c>
      <c r="R247" s="94" t="s">
        <v>25</v>
      </c>
      <c r="T247" s="206" t="s">
        <v>4893</v>
      </c>
      <c r="U247" s="206">
        <v>1145</v>
      </c>
      <c r="V247" s="111">
        <v>325.44</v>
      </c>
      <c r="W247" s="111">
        <f t="shared" si="73"/>
        <v>372628.8</v>
      </c>
      <c r="X247" s="97" t="s">
        <v>452</v>
      </c>
      <c r="Y247" t="s">
        <v>25</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4" t="s">
        <v>25</v>
      </c>
      <c r="R248" s="94" t="s">
        <v>25</v>
      </c>
      <c r="S248" t="s">
        <v>25</v>
      </c>
      <c r="T248" s="206" t="s">
        <v>4901</v>
      </c>
      <c r="U248" s="206">
        <v>20153</v>
      </c>
      <c r="V248" s="111">
        <v>322</v>
      </c>
      <c r="W248" s="111">
        <f t="shared" si="73"/>
        <v>6489266</v>
      </c>
      <c r="X248" s="97" t="s">
        <v>452</v>
      </c>
      <c r="AH248" s="97">
        <v>228</v>
      </c>
      <c r="AI248" s="111" t="s">
        <v>5840</v>
      </c>
      <c r="AJ248" s="111">
        <v>150000</v>
      </c>
      <c r="AK248" s="97">
        <v>10</v>
      </c>
      <c r="AL248" s="20">
        <f t="shared" si="80"/>
        <v>141</v>
      </c>
      <c r="AM248" s="115"/>
      <c r="AN248" s="20"/>
    </row>
    <row r="249" spans="7:46">
      <c r="G249" s="206" t="s">
        <v>5738</v>
      </c>
      <c r="H249" s="111">
        <v>2893243.5730909999</v>
      </c>
      <c r="S249" t="s">
        <v>25</v>
      </c>
      <c r="T249" s="206" t="s">
        <v>4911</v>
      </c>
      <c r="U249" s="206">
        <v>93720</v>
      </c>
      <c r="V249" s="111">
        <v>325.435</v>
      </c>
      <c r="W249" s="111">
        <f t="shared" si="73"/>
        <v>30499768.199999999</v>
      </c>
      <c r="X249" s="97" t="s">
        <v>1069</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743</v>
      </c>
      <c r="R250" s="97"/>
      <c r="S250" t="s">
        <v>25</v>
      </c>
      <c r="T250" s="206" t="s">
        <v>4911</v>
      </c>
      <c r="U250" s="206">
        <v>20895</v>
      </c>
      <c r="V250" s="111">
        <v>325.435</v>
      </c>
      <c r="W250" s="111">
        <f t="shared" si="73"/>
        <v>6799964.3250000002</v>
      </c>
      <c r="X250" s="97" t="s">
        <v>743</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4400</v>
      </c>
      <c r="R251" s="93">
        <v>172908000</v>
      </c>
      <c r="S251" t="s">
        <v>25</v>
      </c>
      <c r="T251" s="206" t="s">
        <v>4918</v>
      </c>
      <c r="U251" s="206">
        <v>2611</v>
      </c>
      <c r="V251" s="111">
        <v>325.435</v>
      </c>
      <c r="W251" s="111">
        <f t="shared" si="73"/>
        <v>849710.78500000003</v>
      </c>
      <c r="X251" s="97" t="s">
        <v>743</v>
      </c>
      <c r="AH251" s="97">
        <v>231</v>
      </c>
      <c r="AI251" s="111" t="s">
        <v>5858</v>
      </c>
      <c r="AJ251" s="111">
        <v>-100000000</v>
      </c>
      <c r="AK251" s="97">
        <v>1</v>
      </c>
      <c r="AL251" s="20">
        <f t="shared" si="80"/>
        <v>130</v>
      </c>
      <c r="AM251" s="115"/>
      <c r="AN251" s="261" t="s">
        <v>5860</v>
      </c>
    </row>
    <row r="252" spans="7:46">
      <c r="G252" s="206" t="s">
        <v>5752</v>
      </c>
      <c r="H252" s="111">
        <v>327451.9203</v>
      </c>
      <c r="Q252" s="97" t="s">
        <v>4433</v>
      </c>
      <c r="R252" s="93">
        <v>1400000</v>
      </c>
      <c r="T252" s="206" t="s">
        <v>4926</v>
      </c>
      <c r="U252" s="206">
        <v>6750</v>
      </c>
      <c r="V252" s="111">
        <v>339.3</v>
      </c>
      <c r="W252" s="111">
        <f t="shared" si="73"/>
        <v>2290275</v>
      </c>
      <c r="X252" s="97" t="s">
        <v>743</v>
      </c>
      <c r="AA252" t="s">
        <v>25</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4206</v>
      </c>
      <c r="R253" s="93">
        <v>247393</v>
      </c>
      <c r="S253" t="s">
        <v>25</v>
      </c>
      <c r="T253" s="206" t="s">
        <v>4934</v>
      </c>
      <c r="U253" s="206">
        <v>1850</v>
      </c>
      <c r="V253" s="111">
        <v>334.10050000000001</v>
      </c>
      <c r="W253" s="111">
        <f t="shared" si="73"/>
        <v>618085.92500000005</v>
      </c>
      <c r="X253" s="97" t="s">
        <v>452</v>
      </c>
      <c r="Y253" t="s">
        <v>25</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4205</v>
      </c>
      <c r="R254" s="93">
        <v>6780000</v>
      </c>
      <c r="T254" s="206" t="s">
        <v>4934</v>
      </c>
      <c r="U254" s="206">
        <v>-1194</v>
      </c>
      <c r="V254" s="111">
        <v>335</v>
      </c>
      <c r="W254" s="111">
        <f t="shared" si="73"/>
        <v>-399990</v>
      </c>
      <c r="X254" s="97" t="s">
        <v>4407</v>
      </c>
      <c r="Y254" t="s">
        <v>25</v>
      </c>
      <c r="AH254" s="97">
        <v>234</v>
      </c>
      <c r="AI254" s="111" t="s">
        <v>5863</v>
      </c>
      <c r="AJ254" s="111">
        <v>30000000</v>
      </c>
      <c r="AK254" s="97">
        <v>0</v>
      </c>
      <c r="AL254" s="20">
        <f t="shared" si="80"/>
        <v>128</v>
      </c>
      <c r="AM254" s="115"/>
      <c r="AN254" s="261"/>
    </row>
    <row r="255" spans="7:46" ht="30">
      <c r="G255" s="206" t="s">
        <v>5774</v>
      </c>
      <c r="H255" s="111">
        <v>37723205.094084002</v>
      </c>
      <c r="Q255" s="97" t="s">
        <v>4531</v>
      </c>
      <c r="R255" s="93">
        <v>-4000000</v>
      </c>
      <c r="T255" s="206" t="s">
        <v>4934</v>
      </c>
      <c r="U255" s="206">
        <v>1194</v>
      </c>
      <c r="V255" s="111">
        <v>335</v>
      </c>
      <c r="W255" s="111">
        <f t="shared" si="73"/>
        <v>399990</v>
      </c>
      <c r="X255" s="97" t="s">
        <v>743</v>
      </c>
      <c r="AH255" s="97">
        <v>235</v>
      </c>
      <c r="AI255" s="111" t="s">
        <v>5863</v>
      </c>
      <c r="AJ255" s="111">
        <v>-30000000</v>
      </c>
      <c r="AK255" s="97">
        <v>3</v>
      </c>
      <c r="AL255" s="20">
        <f t="shared" si="80"/>
        <v>128</v>
      </c>
      <c r="AM255" s="115"/>
      <c r="AN255" s="261" t="s">
        <v>5864</v>
      </c>
    </row>
    <row r="256" spans="7:46">
      <c r="G256" s="206" t="s">
        <v>5775</v>
      </c>
      <c r="H256" s="111">
        <v>1500094.75168</v>
      </c>
      <c r="Q256" s="97" t="s">
        <v>4556</v>
      </c>
      <c r="R256" s="93">
        <v>16727037</v>
      </c>
      <c r="T256" s="206" t="s">
        <v>4941</v>
      </c>
      <c r="U256" s="206">
        <v>433</v>
      </c>
      <c r="V256" s="111">
        <v>345.68</v>
      </c>
      <c r="W256" s="111">
        <f t="shared" si="73"/>
        <v>149679.44</v>
      </c>
      <c r="X256" s="97" t="s">
        <v>743</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4561</v>
      </c>
      <c r="R257" s="93">
        <v>46460683</v>
      </c>
      <c r="S257" t="s">
        <v>25</v>
      </c>
      <c r="T257" s="206" t="s">
        <v>4945</v>
      </c>
      <c r="U257" s="206">
        <v>55459</v>
      </c>
      <c r="V257" s="111">
        <v>362.51978000000003</v>
      </c>
      <c r="W257" s="111">
        <f t="shared" si="73"/>
        <v>20104984.479020003</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4562</v>
      </c>
      <c r="R258" s="93">
        <v>19663646</v>
      </c>
      <c r="T258" s="206" t="s">
        <v>4949</v>
      </c>
      <c r="U258" s="206">
        <v>-57212</v>
      </c>
      <c r="V258" s="111">
        <v>368.45400000000001</v>
      </c>
      <c r="W258" s="111">
        <f t="shared" si="73"/>
        <v>-21079990.248</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4583</v>
      </c>
      <c r="R259" s="93">
        <v>4374525</v>
      </c>
      <c r="T259" s="206" t="s">
        <v>4950</v>
      </c>
      <c r="U259" s="206">
        <v>-15881</v>
      </c>
      <c r="V259" s="111">
        <v>374.61599999999999</v>
      </c>
      <c r="W259" s="111">
        <f t="shared" si="73"/>
        <v>-5949276.6959999995</v>
      </c>
      <c r="X259" s="97" t="s">
        <v>452</v>
      </c>
      <c r="AH259" s="97">
        <v>239</v>
      </c>
      <c r="AI259" s="111" t="s">
        <v>6417</v>
      </c>
      <c r="AJ259" s="111">
        <v>50000000</v>
      </c>
      <c r="AK259" s="97">
        <v>43</v>
      </c>
      <c r="AL259" s="20">
        <f t="shared" si="80"/>
        <v>118</v>
      </c>
      <c r="AM259" s="115"/>
      <c r="AN259" s="261" t="s">
        <v>5345</v>
      </c>
    </row>
    <row r="260" spans="7:45">
      <c r="G260" s="206" t="s">
        <v>5781</v>
      </c>
      <c r="H260" s="111">
        <v>481318.88078800001</v>
      </c>
      <c r="J260" t="s">
        <v>25</v>
      </c>
      <c r="Q260" s="97" t="s">
        <v>4594</v>
      </c>
      <c r="R260" s="93">
        <v>6550580</v>
      </c>
      <c r="T260" s="206" t="s">
        <v>4956</v>
      </c>
      <c r="U260" s="206">
        <v>-41289</v>
      </c>
      <c r="V260" s="111">
        <v>372.27</v>
      </c>
      <c r="W260" s="111">
        <f t="shared" si="73"/>
        <v>-15370656.029999999</v>
      </c>
      <c r="X260" s="97" t="s">
        <v>452</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4596</v>
      </c>
      <c r="R261" s="93">
        <v>6650895</v>
      </c>
      <c r="T261" s="206" t="s">
        <v>4962</v>
      </c>
      <c r="U261" s="206">
        <v>13563</v>
      </c>
      <c r="V261" s="111">
        <v>365.69799999999998</v>
      </c>
      <c r="W261" s="111">
        <f t="shared" si="73"/>
        <v>4959961.9739999995</v>
      </c>
      <c r="X261" s="97" t="s">
        <v>452</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4612</v>
      </c>
      <c r="R262" s="93">
        <v>2145814</v>
      </c>
      <c r="T262" s="206" t="s">
        <v>4962</v>
      </c>
      <c r="U262" s="206">
        <v>27344</v>
      </c>
      <c r="V262" s="111">
        <v>365.69799999999998</v>
      </c>
      <c r="W262" s="111">
        <f t="shared" si="73"/>
        <v>9999646.1119999997</v>
      </c>
      <c r="X262" s="97" t="s">
        <v>452</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4623</v>
      </c>
      <c r="R263" s="93">
        <v>4369730</v>
      </c>
      <c r="T263" s="206" t="s">
        <v>4969</v>
      </c>
      <c r="U263" s="206">
        <v>-103145</v>
      </c>
      <c r="V263" s="111">
        <v>393.334</v>
      </c>
      <c r="W263" s="111">
        <f t="shared" si="73"/>
        <v>-40570435.43</v>
      </c>
      <c r="X263" s="36" t="s">
        <v>4974</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4625</v>
      </c>
      <c r="R264" s="93">
        <v>8739459</v>
      </c>
      <c r="S264" t="s">
        <v>25</v>
      </c>
      <c r="T264" s="206" t="s">
        <v>4969</v>
      </c>
      <c r="U264" s="206">
        <v>-369</v>
      </c>
      <c r="V264" s="111">
        <v>393.334</v>
      </c>
      <c r="W264" s="111">
        <f t="shared" si="73"/>
        <v>-145140.24600000001</v>
      </c>
      <c r="X264" s="36" t="s">
        <v>5046</v>
      </c>
      <c r="AH264" s="97">
        <v>244</v>
      </c>
      <c r="AI264" s="111" t="s">
        <v>6644</v>
      </c>
      <c r="AJ264" s="111">
        <v>5000</v>
      </c>
      <c r="AK264" s="97">
        <v>8</v>
      </c>
      <c r="AL264" s="20">
        <f t="shared" si="80"/>
        <v>14</v>
      </c>
      <c r="AM264" s="115"/>
      <c r="AN264" s="261" t="s">
        <v>6481</v>
      </c>
    </row>
    <row r="265" spans="7:45">
      <c r="G265" s="279" t="s">
        <v>5838</v>
      </c>
      <c r="H265" s="88">
        <v>637977.33504399995</v>
      </c>
      <c r="Q265" s="97" t="s">
        <v>4634</v>
      </c>
      <c r="R265" s="93">
        <v>6667654</v>
      </c>
      <c r="T265" s="206" t="s">
        <v>4969</v>
      </c>
      <c r="U265" s="206">
        <v>-889</v>
      </c>
      <c r="V265" s="111">
        <v>393.334</v>
      </c>
      <c r="W265" s="111">
        <f t="shared" si="73"/>
        <v>-349673.92599999998</v>
      </c>
      <c r="X265" s="36" t="s">
        <v>5047</v>
      </c>
      <c r="AH265" s="97">
        <v>245</v>
      </c>
      <c r="AI265" s="111" t="s">
        <v>6656</v>
      </c>
      <c r="AJ265" s="111">
        <v>102750000</v>
      </c>
      <c r="AK265" s="97">
        <v>5</v>
      </c>
      <c r="AL265" s="20">
        <f t="shared" si="80"/>
        <v>6</v>
      </c>
      <c r="AM265" s="115"/>
      <c r="AN265" s="261"/>
    </row>
    <row r="266" spans="7:45" ht="30">
      <c r="G266" s="206" t="s">
        <v>5839</v>
      </c>
      <c r="H266" s="111">
        <v>466552.25632400002</v>
      </c>
      <c r="Q266" s="97" t="s">
        <v>4642</v>
      </c>
      <c r="R266" s="93">
        <v>8981245</v>
      </c>
      <c r="T266" s="206" t="s">
        <v>4978</v>
      </c>
      <c r="U266" s="206">
        <v>2546</v>
      </c>
      <c r="V266" s="111">
        <v>393</v>
      </c>
      <c r="W266" s="111">
        <f t="shared" si="73"/>
        <v>1000578</v>
      </c>
      <c r="X266" s="36" t="s">
        <v>452</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4646</v>
      </c>
      <c r="R267" s="93">
        <v>9181756</v>
      </c>
      <c r="T267" s="206" t="s">
        <v>4979</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5842</v>
      </c>
      <c r="H268" s="111">
        <v>564888.82799599995</v>
      </c>
      <c r="Q268" s="97" t="s">
        <v>4649</v>
      </c>
      <c r="R268" s="93">
        <v>11811208</v>
      </c>
      <c r="S268" t="s">
        <v>25</v>
      </c>
      <c r="T268" s="206" t="s">
        <v>4986</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4662</v>
      </c>
      <c r="R269" s="93">
        <v>41248054</v>
      </c>
      <c r="S269" t="s">
        <v>25</v>
      </c>
      <c r="T269" s="206" t="s">
        <v>4994</v>
      </c>
      <c r="U269" s="206">
        <v>782</v>
      </c>
      <c r="V269" s="111">
        <v>409</v>
      </c>
      <c r="W269" s="111">
        <f t="shared" si="73"/>
        <v>319838</v>
      </c>
      <c r="X269" s="36" t="s">
        <v>743</v>
      </c>
      <c r="AH269" s="97"/>
      <c r="AI269" s="111"/>
      <c r="AJ269" s="111"/>
      <c r="AK269" s="97"/>
      <c r="AL269" s="20">
        <f t="shared" si="80"/>
        <v>0</v>
      </c>
      <c r="AM269" s="115"/>
      <c r="AN269" s="261"/>
    </row>
    <row r="270" spans="7:45">
      <c r="G270" s="206" t="s">
        <v>5881</v>
      </c>
      <c r="H270" s="111">
        <v>269955.31205999997</v>
      </c>
      <c r="Q270" s="97" t="s">
        <v>4669</v>
      </c>
      <c r="R270" s="93">
        <v>37328780</v>
      </c>
      <c r="T270" s="206" t="s">
        <v>4998</v>
      </c>
      <c r="U270" s="206">
        <v>1220</v>
      </c>
      <c r="V270" s="111">
        <v>409.9</v>
      </c>
      <c r="W270" s="111">
        <f t="shared" si="73"/>
        <v>500078</v>
      </c>
      <c r="X270" s="36" t="s">
        <v>743</v>
      </c>
      <c r="AH270" s="97"/>
      <c r="AI270" s="111"/>
      <c r="AJ270" s="111"/>
      <c r="AK270" s="97"/>
      <c r="AL270" s="20">
        <f t="shared" si="80"/>
        <v>0</v>
      </c>
      <c r="AM270" s="115"/>
      <c r="AN270" s="20"/>
    </row>
    <row r="271" spans="7:45">
      <c r="G271" s="206" t="s">
        <v>6423</v>
      </c>
      <c r="H271" s="111">
        <v>560534.38387200003</v>
      </c>
      <c r="Q271" s="97" t="s">
        <v>4747</v>
      </c>
      <c r="R271" s="93">
        <v>-2194100</v>
      </c>
      <c r="T271" s="206" t="s">
        <v>5000</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6429</v>
      </c>
      <c r="H272" s="111">
        <v>581484.96802499995</v>
      </c>
      <c r="Q272" s="97" t="s">
        <v>4783</v>
      </c>
      <c r="R272" s="93">
        <v>20193916</v>
      </c>
      <c r="T272" s="206" t="s">
        <v>4991</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6432</v>
      </c>
      <c r="H273" s="111">
        <v>2136964.3409779998</v>
      </c>
      <c r="J273" t="s">
        <v>25</v>
      </c>
      <c r="Q273" s="97" t="s">
        <v>4848</v>
      </c>
      <c r="R273" s="93">
        <v>-2000000</v>
      </c>
      <c r="T273" s="206" t="s">
        <v>5016</v>
      </c>
      <c r="U273" s="206">
        <v>165</v>
      </c>
      <c r="V273" s="111">
        <v>393.5</v>
      </c>
      <c r="W273" s="111">
        <f t="shared" si="73"/>
        <v>64927.5</v>
      </c>
      <c r="X273" s="36" t="s">
        <v>452</v>
      </c>
      <c r="AH273" s="97"/>
      <c r="AI273" s="111"/>
      <c r="AJ273" s="111">
        <v>0</v>
      </c>
      <c r="AK273" s="97"/>
      <c r="AL273" s="20">
        <f t="shared" si="80"/>
        <v>0</v>
      </c>
      <c r="AM273" s="115">
        <f t="shared" si="81"/>
        <v>0</v>
      </c>
      <c r="AN273" s="20"/>
    </row>
    <row r="274" spans="7:40" ht="30">
      <c r="G274" s="206" t="s">
        <v>6436</v>
      </c>
      <c r="H274" s="111">
        <v>593783.22629999998</v>
      </c>
      <c r="J274" t="s">
        <v>25</v>
      </c>
      <c r="Q274" s="97" t="s">
        <v>4911</v>
      </c>
      <c r="R274" s="93">
        <v>6800000</v>
      </c>
      <c r="S274" t="s">
        <v>25</v>
      </c>
      <c r="T274" s="206" t="s">
        <v>5021</v>
      </c>
      <c r="U274" s="206">
        <v>-34859</v>
      </c>
      <c r="V274" s="111">
        <v>403.1585</v>
      </c>
      <c r="W274" s="111">
        <f t="shared" si="73"/>
        <v>-14053702.1515</v>
      </c>
      <c r="X274" s="36" t="s">
        <v>5024</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4918</v>
      </c>
      <c r="R275" s="93">
        <v>850000</v>
      </c>
      <c r="T275" s="206" t="s">
        <v>4992</v>
      </c>
      <c r="U275" s="206">
        <v>8476</v>
      </c>
      <c r="V275" s="111">
        <v>419.49900000000002</v>
      </c>
      <c r="W275" s="111">
        <f t="shared" si="73"/>
        <v>3555673.5240000002</v>
      </c>
      <c r="X275" s="36" t="s">
        <v>5030</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4926</v>
      </c>
      <c r="R276" s="93">
        <v>2290500</v>
      </c>
      <c r="T276" s="206" t="s">
        <v>5042</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6491</v>
      </c>
      <c r="H277" s="111">
        <v>3585319.2317280001</v>
      </c>
      <c r="J277" t="s">
        <v>25</v>
      </c>
      <c r="K277" t="s">
        <v>25</v>
      </c>
      <c r="Q277" s="97" t="s">
        <v>4934</v>
      </c>
      <c r="R277" s="93">
        <v>400000</v>
      </c>
      <c r="S277" t="s">
        <v>25</v>
      </c>
      <c r="T277" s="206" t="s">
        <v>5045</v>
      </c>
      <c r="U277" s="206">
        <v>113</v>
      </c>
      <c r="V277" s="111">
        <v>442.48200000000003</v>
      </c>
      <c r="W277" s="111">
        <f t="shared" ref="W277:W358" si="82">U277*V277</f>
        <v>50000.466</v>
      </c>
      <c r="X277" s="36" t="s">
        <v>743</v>
      </c>
      <c r="AH277" s="97"/>
      <c r="AI277" s="97"/>
      <c r="AJ277" s="97"/>
      <c r="AK277" s="97"/>
      <c r="AL277" s="97"/>
      <c r="AM277" s="97"/>
      <c r="AN277" s="97"/>
    </row>
    <row r="278" spans="7:40">
      <c r="G278" s="206" t="s">
        <v>6494</v>
      </c>
      <c r="H278" s="111">
        <v>676700.69889600005</v>
      </c>
      <c r="J278" t="s">
        <v>25</v>
      </c>
      <c r="Q278" s="97" t="s">
        <v>4941</v>
      </c>
      <c r="R278" s="93">
        <v>150000</v>
      </c>
      <c r="T278" s="206" t="s">
        <v>5055</v>
      </c>
      <c r="U278" s="206">
        <v>671</v>
      </c>
      <c r="V278" s="111">
        <v>447</v>
      </c>
      <c r="W278" s="111">
        <f t="shared" si="82"/>
        <v>299937</v>
      </c>
      <c r="X278" s="36" t="s">
        <v>743</v>
      </c>
      <c r="AH278" s="97"/>
      <c r="AI278" s="97"/>
      <c r="AJ278" s="97"/>
      <c r="AK278" s="97"/>
      <c r="AL278" s="97"/>
      <c r="AM278" s="97" t="s">
        <v>4042</v>
      </c>
      <c r="AN278" s="97">
        <v>1.6667000000000001E-2</v>
      </c>
    </row>
    <row r="279" spans="7:40">
      <c r="G279" s="206" t="s">
        <v>6503</v>
      </c>
      <c r="H279" s="111">
        <v>1105777.5430340001</v>
      </c>
      <c r="J279" t="s">
        <v>25</v>
      </c>
      <c r="Q279" s="97" t="s">
        <v>4969</v>
      </c>
      <c r="R279" s="93">
        <v>-144950</v>
      </c>
      <c r="T279" s="206" t="s">
        <v>5057</v>
      </c>
      <c r="U279" s="206">
        <v>7</v>
      </c>
      <c r="V279" s="111">
        <v>465.31200000000001</v>
      </c>
      <c r="W279" s="111">
        <f t="shared" si="82"/>
        <v>3257.1840000000002</v>
      </c>
      <c r="X279" s="36" t="s">
        <v>452</v>
      </c>
      <c r="AH279" s="97"/>
      <c r="AI279" s="97"/>
      <c r="AJ279" s="97"/>
      <c r="AK279" s="97"/>
      <c r="AL279" s="97"/>
      <c r="AM279" s="97"/>
      <c r="AN279" s="97"/>
    </row>
    <row r="280" spans="7:40">
      <c r="G280" s="206" t="s">
        <v>6507</v>
      </c>
      <c r="H280" s="111">
        <v>2315234.8602510002</v>
      </c>
      <c r="Q280" s="97" t="s">
        <v>4994</v>
      </c>
      <c r="R280" s="93">
        <v>320000</v>
      </c>
      <c r="T280" s="206" t="s">
        <v>5061</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6509</v>
      </c>
      <c r="H281" s="111">
        <v>4136360.6541840001</v>
      </c>
      <c r="J281" t="s">
        <v>25</v>
      </c>
      <c r="Q281" s="97" t="s">
        <v>4998</v>
      </c>
      <c r="R281" s="93">
        <v>500000</v>
      </c>
      <c r="S281" t="s">
        <v>25</v>
      </c>
      <c r="T281" s="206" t="s">
        <v>5063</v>
      </c>
      <c r="U281" s="206">
        <v>37</v>
      </c>
      <c r="V281" s="111">
        <v>463.315</v>
      </c>
      <c r="W281" s="111">
        <f t="shared" si="82"/>
        <v>17142.654999999999</v>
      </c>
      <c r="X281" s="36" t="s">
        <v>452</v>
      </c>
      <c r="AI281" t="s">
        <v>4046</v>
      </c>
      <c r="AJ281" s="112">
        <f>SUM(N44:N53)</f>
        <v>6430924692</v>
      </c>
      <c r="AM281" t="s">
        <v>25</v>
      </c>
    </row>
    <row r="282" spans="7:40">
      <c r="G282" s="206" t="s">
        <v>6511</v>
      </c>
      <c r="H282" s="111">
        <v>3035714.4702960001</v>
      </c>
      <c r="O282" t="s">
        <v>25</v>
      </c>
      <c r="Q282" s="97" t="s">
        <v>5042</v>
      </c>
      <c r="R282" s="93">
        <v>400000</v>
      </c>
      <c r="S282" t="s">
        <v>25</v>
      </c>
      <c r="T282" s="206" t="s">
        <v>5064</v>
      </c>
      <c r="U282" s="206">
        <v>19</v>
      </c>
      <c r="V282" s="111">
        <v>434.3</v>
      </c>
      <c r="W282" s="111">
        <f t="shared" si="82"/>
        <v>8251.7000000000007</v>
      </c>
      <c r="X282" s="36" t="s">
        <v>452</v>
      </c>
      <c r="Y282" t="s">
        <v>25</v>
      </c>
      <c r="AI282" t="s">
        <v>4116</v>
      </c>
      <c r="AJ282" s="112">
        <f>AJ281-AJ275</f>
        <v>5961488742.9384365</v>
      </c>
      <c r="AM282" t="s">
        <v>25</v>
      </c>
    </row>
    <row r="283" spans="7:40">
      <c r="G283" s="206" t="s">
        <v>6522</v>
      </c>
      <c r="H283" s="111">
        <v>93814</v>
      </c>
      <c r="Q283" s="97" t="s">
        <v>5045</v>
      </c>
      <c r="R283" s="93">
        <v>50000</v>
      </c>
      <c r="S283" t="s">
        <v>25</v>
      </c>
      <c r="T283" s="206" t="s">
        <v>5066</v>
      </c>
      <c r="U283" s="206">
        <v>16</v>
      </c>
      <c r="V283" s="111">
        <v>439</v>
      </c>
      <c r="W283" s="111">
        <f t="shared" si="82"/>
        <v>7024</v>
      </c>
      <c r="X283" s="36" t="s">
        <v>452</v>
      </c>
      <c r="Y283" t="s">
        <v>25</v>
      </c>
      <c r="AI283" t="s">
        <v>926</v>
      </c>
      <c r="AJ283" s="112">
        <f>AN275</f>
        <v>283522401.57656038</v>
      </c>
      <c r="AN283" t="s">
        <v>25</v>
      </c>
    </row>
    <row r="284" spans="7:40" ht="45">
      <c r="G284" s="206" t="s">
        <v>6528</v>
      </c>
      <c r="H284" s="111">
        <v>345069.28943499998</v>
      </c>
      <c r="Q284" s="97" t="s">
        <v>5055</v>
      </c>
      <c r="R284" s="93">
        <v>300000</v>
      </c>
      <c r="T284" s="206" t="s">
        <v>5066</v>
      </c>
      <c r="U284" s="206">
        <v>9191</v>
      </c>
      <c r="V284" s="111">
        <v>440.24630000000002</v>
      </c>
      <c r="W284" s="111">
        <f t="shared" si="82"/>
        <v>4046303.7433000002</v>
      </c>
      <c r="X284" s="36" t="s">
        <v>5067</v>
      </c>
      <c r="AI284" t="s">
        <v>4047</v>
      </c>
      <c r="AJ284" s="112">
        <f>AJ281-AJ280</f>
        <v>5677966341.3618755</v>
      </c>
      <c r="AN284" t="s">
        <v>25</v>
      </c>
    </row>
    <row r="285" spans="7:40">
      <c r="G285" s="206" t="s">
        <v>6621</v>
      </c>
      <c r="H285" s="111">
        <v>567785.37859199999</v>
      </c>
      <c r="Q285" s="97" t="s">
        <v>5076</v>
      </c>
      <c r="R285" s="93">
        <v>250000</v>
      </c>
      <c r="T285" s="206" t="s">
        <v>5069</v>
      </c>
      <c r="U285" s="206">
        <v>-8792</v>
      </c>
      <c r="V285" s="111">
        <v>441.90665999999999</v>
      </c>
      <c r="W285" s="111">
        <f t="shared" si="82"/>
        <v>-3885243.3547199997</v>
      </c>
      <c r="X285" s="36" t="s">
        <v>5070</v>
      </c>
      <c r="AM285" t="s">
        <v>25</v>
      </c>
    </row>
    <row r="286" spans="7:40">
      <c r="G286" s="206" t="s">
        <v>6633</v>
      </c>
      <c r="H286" s="111">
        <v>189683.91675</v>
      </c>
      <c r="J286" t="s">
        <v>25</v>
      </c>
      <c r="Q286" s="97" t="s">
        <v>5109</v>
      </c>
      <c r="R286" s="93">
        <v>200000</v>
      </c>
      <c r="T286" s="206" t="s">
        <v>5076</v>
      </c>
      <c r="U286" s="206">
        <v>530</v>
      </c>
      <c r="V286" s="111">
        <v>472</v>
      </c>
      <c r="W286" s="111">
        <f t="shared" si="82"/>
        <v>250160</v>
      </c>
      <c r="X286" s="36" t="s">
        <v>743</v>
      </c>
      <c r="AJ286" t="s">
        <v>25</v>
      </c>
    </row>
    <row r="287" spans="7:40" ht="30">
      <c r="G287" s="206" t="s">
        <v>6634</v>
      </c>
      <c r="H287" s="111">
        <v>519135.75707200001</v>
      </c>
      <c r="Q287" s="97" t="s">
        <v>5141</v>
      </c>
      <c r="R287" s="93">
        <v>122000</v>
      </c>
      <c r="T287" s="206" t="s">
        <v>5076</v>
      </c>
      <c r="U287" s="206">
        <v>12</v>
      </c>
      <c r="V287" s="111">
        <v>481.86</v>
      </c>
      <c r="W287" s="111">
        <f t="shared" si="82"/>
        <v>5782.32</v>
      </c>
      <c r="X287" s="36" t="s">
        <v>5078</v>
      </c>
    </row>
    <row r="288" spans="7:40">
      <c r="G288" s="206" t="s">
        <v>6641</v>
      </c>
      <c r="H288" s="111">
        <v>3406413.9029760002</v>
      </c>
      <c r="Q288" s="97" t="s">
        <v>5149</v>
      </c>
      <c r="R288" s="93">
        <v>200000</v>
      </c>
      <c r="S288" t="s">
        <v>25</v>
      </c>
      <c r="T288" s="206" t="s">
        <v>5102</v>
      </c>
      <c r="U288" s="206">
        <v>846</v>
      </c>
      <c r="V288" s="111">
        <v>472.7</v>
      </c>
      <c r="W288" s="111">
        <f t="shared" si="82"/>
        <v>399904.2</v>
      </c>
      <c r="X288" s="36" t="s">
        <v>452</v>
      </c>
    </row>
    <row r="289" spans="7:44">
      <c r="G289" s="419" t="s">
        <v>6643</v>
      </c>
      <c r="H289" s="77">
        <v>435036.348168</v>
      </c>
      <c r="Q289" s="97" t="s">
        <v>5159</v>
      </c>
      <c r="R289" s="93">
        <v>60000</v>
      </c>
      <c r="T289" s="206" t="s">
        <v>5105</v>
      </c>
      <c r="U289" s="206">
        <v>191</v>
      </c>
      <c r="V289" s="111">
        <v>484.572</v>
      </c>
      <c r="W289" s="111">
        <f t="shared" si="82"/>
        <v>92553.252000000008</v>
      </c>
      <c r="X289" s="36" t="s">
        <v>5106</v>
      </c>
    </row>
    <row r="290" spans="7:44">
      <c r="G290" s="206" t="s">
        <v>6697</v>
      </c>
      <c r="H290" s="111">
        <v>2321535.4633200001</v>
      </c>
      <c r="O290" t="s">
        <v>25</v>
      </c>
      <c r="Q290" s="97" t="s">
        <v>5218</v>
      </c>
      <c r="R290" s="93">
        <v>-200000</v>
      </c>
      <c r="S290" t="s">
        <v>25</v>
      </c>
      <c r="T290" s="206" t="s">
        <v>5105</v>
      </c>
      <c r="U290" s="206">
        <v>-206</v>
      </c>
      <c r="V290" s="111">
        <v>484.572</v>
      </c>
      <c r="W290" s="111">
        <f t="shared" si="82"/>
        <v>-99821.831999999995</v>
      </c>
      <c r="X290" s="36" t="s">
        <v>5108</v>
      </c>
    </row>
    <row r="291" spans="7:44">
      <c r="G291" s="206" t="s">
        <v>7028</v>
      </c>
      <c r="H291" s="111">
        <v>1098146.8035800001</v>
      </c>
      <c r="Q291" s="97" t="s">
        <v>5280</v>
      </c>
      <c r="R291" s="93">
        <v>-9000000</v>
      </c>
      <c r="T291" s="206" t="s">
        <v>5109</v>
      </c>
      <c r="U291" s="206">
        <v>20685</v>
      </c>
      <c r="V291" s="111">
        <v>483.43312200000003</v>
      </c>
      <c r="W291" s="111">
        <f t="shared" si="82"/>
        <v>9999814.1285699997</v>
      </c>
      <c r="X291" s="36" t="s">
        <v>5111</v>
      </c>
      <c r="AH291" s="97" t="s">
        <v>3623</v>
      </c>
      <c r="AI291" s="97" t="s">
        <v>180</v>
      </c>
      <c r="AJ291" s="97" t="s">
        <v>267</v>
      </c>
      <c r="AK291" s="97" t="s">
        <v>4040</v>
      </c>
      <c r="AL291" s="97" t="s">
        <v>4032</v>
      </c>
      <c r="AM291" s="97" t="s">
        <v>282</v>
      </c>
      <c r="AN291" s="97" t="s">
        <v>4266</v>
      </c>
    </row>
    <row r="292" spans="7:44">
      <c r="G292" s="206" t="s">
        <v>7037</v>
      </c>
      <c r="H292" s="111">
        <v>540424.560405</v>
      </c>
      <c r="Q292" s="97" t="s">
        <v>5338</v>
      </c>
      <c r="R292" s="93">
        <v>-26000000</v>
      </c>
      <c r="T292" s="206" t="s">
        <v>5109</v>
      </c>
      <c r="U292" s="206">
        <v>-413</v>
      </c>
      <c r="V292" s="111">
        <v>483.40199999999999</v>
      </c>
      <c r="W292" s="111">
        <f t="shared" si="82"/>
        <v>-199645.02599999998</v>
      </c>
      <c r="X292" s="36" t="s">
        <v>4407</v>
      </c>
      <c r="AH292" s="97">
        <v>1</v>
      </c>
      <c r="AI292" s="97" t="s">
        <v>3931</v>
      </c>
      <c r="AJ292" s="115">
        <v>3555820</v>
      </c>
      <c r="AK292" s="97">
        <v>2</v>
      </c>
      <c r="AL292" s="97">
        <f>AK292+AL293</f>
        <v>991</v>
      </c>
      <c r="AM292" s="97">
        <f>AJ292*AL292</f>
        <v>3523817620</v>
      </c>
      <c r="AN292" s="97" t="s">
        <v>4284</v>
      </c>
    </row>
    <row r="293" spans="7:44">
      <c r="G293" s="206" t="s">
        <v>7043</v>
      </c>
      <c r="H293" s="111">
        <v>2781712.2405709997</v>
      </c>
      <c r="Q293" s="97" t="s">
        <v>5342</v>
      </c>
      <c r="R293" s="93">
        <v>-95900000</v>
      </c>
      <c r="T293" s="206" t="s">
        <v>5109</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5343</v>
      </c>
      <c r="R294" s="93">
        <v>-28950000</v>
      </c>
      <c r="S294" t="s">
        <v>25</v>
      </c>
      <c r="T294" s="206" t="s">
        <v>5114</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5486</v>
      </c>
      <c r="R295" s="93">
        <v>-93000000</v>
      </c>
      <c r="S295" t="s">
        <v>25</v>
      </c>
      <c r="T295" s="206" t="s">
        <v>5117</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5495</v>
      </c>
      <c r="R296" s="93">
        <v>50000000</v>
      </c>
      <c r="T296" s="206" t="s">
        <v>5120</v>
      </c>
      <c r="U296" s="206">
        <v>963</v>
      </c>
      <c r="V296" s="111">
        <v>477.92200000000003</v>
      </c>
      <c r="W296" s="111">
        <f t="shared" si="82"/>
        <v>460238.886</v>
      </c>
      <c r="X296" s="36" t="s">
        <v>452</v>
      </c>
      <c r="AH296" s="97">
        <v>5</v>
      </c>
      <c r="AI296" s="97" t="s">
        <v>4150</v>
      </c>
      <c r="AJ296" s="115">
        <v>3150000</v>
      </c>
      <c r="AK296" s="97">
        <v>16</v>
      </c>
      <c r="AL296" s="97">
        <f t="shared" si="83"/>
        <v>927</v>
      </c>
      <c r="AM296" s="97">
        <f t="shared" si="84"/>
        <v>2920050000</v>
      </c>
      <c r="AN296" s="97"/>
    </row>
    <row r="297" spans="7:44">
      <c r="G297" s="206"/>
      <c r="H297" s="111"/>
      <c r="Q297" s="97" t="s">
        <v>4210</v>
      </c>
      <c r="R297" s="93">
        <v>2749471.1668000002</v>
      </c>
      <c r="T297" s="206" t="s">
        <v>5121</v>
      </c>
      <c r="U297" s="206">
        <v>2815</v>
      </c>
      <c r="V297" s="111">
        <v>461.79</v>
      </c>
      <c r="W297" s="111">
        <f t="shared" si="82"/>
        <v>1299938.8500000001</v>
      </c>
      <c r="X297" s="36" t="s">
        <v>452</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5586</v>
      </c>
      <c r="R298" s="93">
        <v>-680940.07019999996</v>
      </c>
      <c r="T298" s="206" t="s">
        <v>5121</v>
      </c>
      <c r="U298" s="206">
        <v>1581</v>
      </c>
      <c r="V298" s="111">
        <v>461.79</v>
      </c>
      <c r="W298" s="111">
        <f t="shared" si="82"/>
        <v>730089.99</v>
      </c>
      <c r="X298" s="36" t="s">
        <v>452</v>
      </c>
      <c r="Y298" t="s">
        <v>25</v>
      </c>
      <c r="AH298" s="97">
        <v>7</v>
      </c>
      <c r="AI298" s="97" t="s">
        <v>4286</v>
      </c>
      <c r="AJ298" s="115">
        <v>-95000</v>
      </c>
      <c r="AK298" s="97">
        <v>6</v>
      </c>
      <c r="AL298" s="97">
        <f t="shared" si="83"/>
        <v>910</v>
      </c>
      <c r="AM298" s="97">
        <f t="shared" si="84"/>
        <v>-86450000</v>
      </c>
      <c r="AN298" s="97"/>
    </row>
    <row r="299" spans="7:44">
      <c r="G299" s="206"/>
      <c r="H299" s="111"/>
      <c r="Q299" s="97" t="s">
        <v>5586</v>
      </c>
      <c r="R299" s="93">
        <v>-48684800.338199995</v>
      </c>
      <c r="T299" s="206" t="s">
        <v>975</v>
      </c>
      <c r="U299" s="206">
        <v>41</v>
      </c>
      <c r="V299" s="111">
        <v>514.48099999999999</v>
      </c>
      <c r="W299" s="111">
        <f t="shared" si="82"/>
        <v>21093.721000000001</v>
      </c>
      <c r="X299" s="36" t="s">
        <v>5106</v>
      </c>
      <c r="AH299" s="97">
        <v>8</v>
      </c>
      <c r="AI299" s="97" t="s">
        <v>4287</v>
      </c>
      <c r="AJ299" s="115">
        <v>232000</v>
      </c>
      <c r="AK299" s="97">
        <v>7</v>
      </c>
      <c r="AL299" s="97">
        <f t="shared" si="83"/>
        <v>904</v>
      </c>
      <c r="AM299" s="97">
        <f t="shared" si="84"/>
        <v>209728000</v>
      </c>
      <c r="AN299" s="97"/>
    </row>
    <row r="300" spans="7:44">
      <c r="G300" s="206"/>
      <c r="H300" s="1"/>
      <c r="P300" t="s">
        <v>25</v>
      </c>
      <c r="Q300" s="97" t="s">
        <v>5610</v>
      </c>
      <c r="R300" s="93">
        <v>1500000</v>
      </c>
      <c r="S300" t="s">
        <v>25</v>
      </c>
      <c r="T300" s="206" t="s">
        <v>4254</v>
      </c>
      <c r="U300" s="206">
        <v>71</v>
      </c>
      <c r="V300" s="111">
        <v>482.57</v>
      </c>
      <c r="W300" s="111">
        <f t="shared" si="82"/>
        <v>34262.47</v>
      </c>
      <c r="X300" s="36" t="s">
        <v>5106</v>
      </c>
      <c r="AH300" s="97">
        <v>9</v>
      </c>
      <c r="AI300" s="97" t="s">
        <v>4265</v>
      </c>
      <c r="AJ300" s="115">
        <v>13000000</v>
      </c>
      <c r="AK300" s="97">
        <v>2</v>
      </c>
      <c r="AL300" s="97">
        <f t="shared" si="83"/>
        <v>897</v>
      </c>
      <c r="AM300" s="97">
        <f t="shared" si="84"/>
        <v>11661000000</v>
      </c>
      <c r="AN300" s="97"/>
      <c r="AR300" t="s">
        <v>25</v>
      </c>
    </row>
    <row r="301" spans="7:44">
      <c r="G301" s="206"/>
      <c r="H301" s="1"/>
      <c r="Q301" s="97" t="s">
        <v>963</v>
      </c>
      <c r="R301" s="93">
        <v>11221062</v>
      </c>
      <c r="S301" t="s">
        <v>25</v>
      </c>
      <c r="T301" s="206" t="s">
        <v>5141</v>
      </c>
      <c r="U301" s="206">
        <v>-250</v>
      </c>
      <c r="V301" s="111">
        <v>487.125</v>
      </c>
      <c r="W301" s="111">
        <f t="shared" si="82"/>
        <v>-121781.25</v>
      </c>
      <c r="X301" s="36" t="s">
        <v>4407</v>
      </c>
      <c r="AH301" s="97">
        <v>10</v>
      </c>
      <c r="AI301" s="97" t="s">
        <v>4288</v>
      </c>
      <c r="AJ301" s="115">
        <v>10000000</v>
      </c>
      <c r="AK301" s="97">
        <v>3</v>
      </c>
      <c r="AL301" s="97">
        <f t="shared" si="83"/>
        <v>895</v>
      </c>
      <c r="AM301" s="97">
        <f t="shared" si="84"/>
        <v>8950000000</v>
      </c>
      <c r="AN301" s="97"/>
    </row>
    <row r="302" spans="7:44">
      <c r="G302" s="206"/>
      <c r="H302" s="1"/>
      <c r="Q302" s="97" t="s">
        <v>5828</v>
      </c>
      <c r="R302" s="93">
        <v>20031495.928431001</v>
      </c>
      <c r="T302" s="206" t="s">
        <v>5141</v>
      </c>
      <c r="U302" s="206">
        <v>250</v>
      </c>
      <c r="V302" s="111">
        <v>487.125</v>
      </c>
      <c r="W302" s="111">
        <f t="shared" si="82"/>
        <v>121781.25</v>
      </c>
      <c r="X302" s="36" t="s">
        <v>743</v>
      </c>
      <c r="AH302" s="97">
        <v>11</v>
      </c>
      <c r="AI302" s="97" t="s">
        <v>4277</v>
      </c>
      <c r="AJ302" s="115">
        <v>3400000</v>
      </c>
      <c r="AK302" s="97">
        <v>9</v>
      </c>
      <c r="AL302" s="97">
        <f t="shared" si="83"/>
        <v>892</v>
      </c>
      <c r="AM302" s="97">
        <f t="shared" si="84"/>
        <v>3032800000</v>
      </c>
      <c r="AN302" s="97"/>
    </row>
    <row r="303" spans="7:44">
      <c r="G303" s="206" t="s">
        <v>6</v>
      </c>
      <c r="H303" s="1">
        <f>SUM(H163:H302)</f>
        <v>1494527146.3582945</v>
      </c>
      <c r="Q303" s="97" t="s">
        <v>5846</v>
      </c>
      <c r="R303" s="93">
        <v>-154353015.43906799</v>
      </c>
      <c r="S303" t="s">
        <v>25</v>
      </c>
      <c r="T303" s="206" t="s">
        <v>5149</v>
      </c>
      <c r="U303" s="206">
        <v>-1439</v>
      </c>
      <c r="V303" s="111">
        <v>486.53068999999999</v>
      </c>
      <c r="W303" s="111">
        <f t="shared" si="82"/>
        <v>-700117.66290999996</v>
      </c>
      <c r="X303" s="36" t="s">
        <v>4407</v>
      </c>
      <c r="AH303" s="97">
        <v>12</v>
      </c>
      <c r="AI303" s="97" t="s">
        <v>4314</v>
      </c>
      <c r="AJ303" s="115">
        <v>-8736514</v>
      </c>
      <c r="AK303" s="97">
        <v>1</v>
      </c>
      <c r="AL303" s="97">
        <f>AK303+AL304</f>
        <v>883</v>
      </c>
      <c r="AM303" s="97">
        <f t="shared" si="84"/>
        <v>-7714341862</v>
      </c>
      <c r="AN303" s="97"/>
    </row>
    <row r="304" spans="7:44">
      <c r="G304" s="280"/>
      <c r="H304" s="1"/>
      <c r="Q304" s="97" t="s">
        <v>5866</v>
      </c>
      <c r="R304" s="93">
        <v>16643927.89773</v>
      </c>
      <c r="S304" t="s">
        <v>25</v>
      </c>
      <c r="T304" s="206" t="s">
        <v>5149</v>
      </c>
      <c r="U304" s="206">
        <v>411</v>
      </c>
      <c r="V304" s="111">
        <v>486.53068999999999</v>
      </c>
      <c r="W304" s="111">
        <f t="shared" si="82"/>
        <v>199964.11358999999</v>
      </c>
      <c r="X304" s="36" t="s">
        <v>743</v>
      </c>
      <c r="Y304" t="s">
        <v>25</v>
      </c>
      <c r="AH304" s="97">
        <v>13</v>
      </c>
      <c r="AI304" s="97" t="s">
        <v>4315</v>
      </c>
      <c r="AJ304" s="115">
        <v>555000</v>
      </c>
      <c r="AK304" s="97">
        <v>5</v>
      </c>
      <c r="AL304" s="97">
        <f t="shared" ref="AL304:AL320" si="85">AK304+AL305</f>
        <v>882</v>
      </c>
      <c r="AM304" s="97">
        <f t="shared" si="84"/>
        <v>489510000</v>
      </c>
      <c r="AN304" s="97"/>
    </row>
    <row r="305" spans="7:40">
      <c r="O305" t="s">
        <v>25</v>
      </c>
      <c r="Q305" s="97" t="s">
        <v>5867</v>
      </c>
      <c r="R305" s="93">
        <v>33355467.51292</v>
      </c>
      <c r="T305" s="206" t="s">
        <v>5119</v>
      </c>
      <c r="U305" s="206">
        <v>-4290</v>
      </c>
      <c r="V305" s="111">
        <v>497.57670000000002</v>
      </c>
      <c r="W305" s="111">
        <f t="shared" si="82"/>
        <v>-2134604.0430000001</v>
      </c>
      <c r="X305" s="36" t="s">
        <v>452</v>
      </c>
      <c r="AH305" s="97">
        <v>14</v>
      </c>
      <c r="AI305" s="97" t="s">
        <v>4339</v>
      </c>
      <c r="AJ305" s="115">
        <v>-448308</v>
      </c>
      <c r="AK305" s="97">
        <v>6</v>
      </c>
      <c r="AL305" s="97">
        <f t="shared" si="85"/>
        <v>877</v>
      </c>
      <c r="AM305" s="97">
        <f t="shared" si="84"/>
        <v>-393166116</v>
      </c>
      <c r="AN305" s="97"/>
    </row>
    <row r="306" spans="7:40">
      <c r="Q306" s="97" t="s">
        <v>6414</v>
      </c>
      <c r="R306" s="93">
        <v>30000000</v>
      </c>
      <c r="S306" t="s">
        <v>25</v>
      </c>
      <c r="T306" s="206" t="s">
        <v>5156</v>
      </c>
      <c r="U306" s="206">
        <v>-644</v>
      </c>
      <c r="V306" s="111">
        <v>494.76464499999997</v>
      </c>
      <c r="W306" s="111">
        <f t="shared" si="82"/>
        <v>-318628.43137999997</v>
      </c>
      <c r="X306" s="36" t="s">
        <v>452</v>
      </c>
      <c r="AH306" s="97">
        <v>15</v>
      </c>
      <c r="AI306" s="97" t="s">
        <v>4366</v>
      </c>
      <c r="AJ306" s="115">
        <v>33225</v>
      </c>
      <c r="AK306" s="97">
        <v>0</v>
      </c>
      <c r="AL306" s="97">
        <f t="shared" si="85"/>
        <v>871</v>
      </c>
      <c r="AM306" s="97">
        <f t="shared" si="84"/>
        <v>28938975</v>
      </c>
      <c r="AN306" s="97"/>
    </row>
    <row r="307" spans="7:40">
      <c r="G307" s="94"/>
      <c r="H307" s="9" t="s">
        <v>452</v>
      </c>
      <c r="Q307" s="97" t="s">
        <v>6432</v>
      </c>
      <c r="R307" s="93">
        <v>6000000</v>
      </c>
      <c r="T307" s="206" t="s">
        <v>5159</v>
      </c>
      <c r="U307" s="206">
        <v>-112</v>
      </c>
      <c r="V307" s="111">
        <v>485.78</v>
      </c>
      <c r="W307" s="111">
        <f t="shared" si="82"/>
        <v>-54407.360000000001</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6528</v>
      </c>
      <c r="R308" s="93">
        <v>126128.77475900001</v>
      </c>
      <c r="T308" s="206" t="s">
        <v>5159</v>
      </c>
      <c r="U308" s="206">
        <v>123</v>
      </c>
      <c r="V308" s="111">
        <v>485.78</v>
      </c>
      <c r="W308" s="111">
        <f t="shared" si="82"/>
        <v>59750.939999999995</v>
      </c>
      <c r="X308" s="36" t="s">
        <v>743</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c r="T309" s="206" t="s">
        <v>5159</v>
      </c>
      <c r="U309" s="206">
        <v>-123</v>
      </c>
      <c r="V309" s="111">
        <v>485.78</v>
      </c>
      <c r="W309" s="111">
        <f t="shared" si="82"/>
        <v>-59750.939999999995</v>
      </c>
      <c r="X309" s="36" t="s">
        <v>4407</v>
      </c>
      <c r="AH309" s="147">
        <v>18</v>
      </c>
      <c r="AI309" s="147" t="s">
        <v>4397</v>
      </c>
      <c r="AJ309" s="186">
        <v>750000</v>
      </c>
      <c r="AK309" s="147">
        <v>1</v>
      </c>
      <c r="AL309" s="147">
        <f t="shared" si="85"/>
        <v>862</v>
      </c>
      <c r="AM309" s="147">
        <f t="shared" si="84"/>
        <v>646500000</v>
      </c>
      <c r="AN309" s="147" t="s">
        <v>649</v>
      </c>
    </row>
    <row r="310" spans="7:40">
      <c r="G310" s="94"/>
      <c r="H310" s="9" t="s">
        <v>1069</v>
      </c>
      <c r="P310" t="s">
        <v>25</v>
      </c>
      <c r="Q310" s="97"/>
      <c r="R310" s="93"/>
      <c r="S310" t="s">
        <v>25</v>
      </c>
      <c r="T310" s="206" t="s">
        <v>5202</v>
      </c>
      <c r="U310" s="206">
        <v>32367</v>
      </c>
      <c r="V310" s="111">
        <v>556.12900000000002</v>
      </c>
      <c r="W310" s="111">
        <f t="shared" si="82"/>
        <v>18000227.343000002</v>
      </c>
      <c r="X310" s="36" t="s">
        <v>452</v>
      </c>
      <c r="AH310" s="192">
        <v>19</v>
      </c>
      <c r="AI310" s="192" t="s">
        <v>4398</v>
      </c>
      <c r="AJ310" s="193">
        <v>-604152</v>
      </c>
      <c r="AK310" s="192">
        <v>0</v>
      </c>
      <c r="AL310" s="192">
        <f t="shared" si="85"/>
        <v>861</v>
      </c>
      <c r="AM310" s="192">
        <f t="shared" si="84"/>
        <v>-520174872</v>
      </c>
      <c r="AN310" s="192" t="s">
        <v>649</v>
      </c>
    </row>
    <row r="311" spans="7:40">
      <c r="H311" s="9" t="s">
        <v>5353</v>
      </c>
      <c r="P311" t="s">
        <v>25</v>
      </c>
      <c r="Q311" s="97" t="s">
        <v>25</v>
      </c>
      <c r="R311" s="93"/>
      <c r="T311" s="206" t="s">
        <v>5218</v>
      </c>
      <c r="U311" s="206">
        <v>1254</v>
      </c>
      <c r="V311" s="111">
        <v>558.24400000000003</v>
      </c>
      <c r="W311" s="111">
        <f t="shared" si="82"/>
        <v>700037.97600000002</v>
      </c>
      <c r="X311" s="36" t="s">
        <v>4407</v>
      </c>
      <c r="AH311" s="97">
        <v>20</v>
      </c>
      <c r="AI311" s="97" t="s">
        <v>4399</v>
      </c>
      <c r="AJ311" s="115">
        <v>-587083</v>
      </c>
      <c r="AK311" s="97">
        <v>4</v>
      </c>
      <c r="AL311" s="97">
        <f t="shared" si="85"/>
        <v>861</v>
      </c>
      <c r="AM311" s="97">
        <f t="shared" si="84"/>
        <v>-505478463</v>
      </c>
      <c r="AN311" s="97"/>
    </row>
    <row r="312" spans="7:40">
      <c r="H312" s="9" t="s">
        <v>5516</v>
      </c>
      <c r="Q312" s="97"/>
      <c r="R312" s="93">
        <f>SUM(R251:R311)</f>
        <v>151842622.43317199</v>
      </c>
      <c r="T312" s="166" t="s">
        <v>5218</v>
      </c>
      <c r="U312" s="206">
        <v>-358</v>
      </c>
      <c r="V312" s="111">
        <v>558.24400000000003</v>
      </c>
      <c r="W312" s="111">
        <f t="shared" si="82"/>
        <v>-199851.35200000001</v>
      </c>
      <c r="X312" s="36" t="s">
        <v>743</v>
      </c>
      <c r="Z312" t="s">
        <v>25</v>
      </c>
      <c r="AH312" s="192">
        <v>21</v>
      </c>
      <c r="AI312" s="192" t="s">
        <v>4400</v>
      </c>
      <c r="AJ312" s="193">
        <v>-754351</v>
      </c>
      <c r="AK312" s="192">
        <v>0</v>
      </c>
      <c r="AL312" s="147">
        <f t="shared" si="85"/>
        <v>857</v>
      </c>
      <c r="AM312" s="192">
        <f t="shared" si="84"/>
        <v>-646478807</v>
      </c>
      <c r="AN312" s="192" t="s">
        <v>649</v>
      </c>
    </row>
    <row r="313" spans="7:40">
      <c r="H313" s="281" t="s">
        <v>5517</v>
      </c>
      <c r="R313" s="97" t="s">
        <v>6</v>
      </c>
      <c r="T313" s="187" t="s">
        <v>5237</v>
      </c>
      <c r="U313" s="187">
        <v>63259</v>
      </c>
      <c r="V313" s="186">
        <v>632.31960000000004</v>
      </c>
      <c r="W313" s="186">
        <f t="shared" si="82"/>
        <v>39999905.576400004</v>
      </c>
      <c r="X313" s="260" t="s">
        <v>1069</v>
      </c>
      <c r="AH313" s="97">
        <v>22</v>
      </c>
      <c r="AI313" s="97" t="s">
        <v>4400</v>
      </c>
      <c r="AJ313" s="115">
        <v>-189619</v>
      </c>
      <c r="AK313" s="97">
        <v>15</v>
      </c>
      <c r="AL313" s="97">
        <f t="shared" si="85"/>
        <v>857</v>
      </c>
      <c r="AM313" s="97">
        <f t="shared" si="84"/>
        <v>-162503483</v>
      </c>
      <c r="AN313" s="97"/>
    </row>
    <row r="314" spans="7:40">
      <c r="H314" s="281" t="s">
        <v>743</v>
      </c>
      <c r="R314" t="s">
        <v>25</v>
      </c>
      <c r="T314" s="19" t="s">
        <v>5241</v>
      </c>
      <c r="U314" s="19">
        <v>-1278</v>
      </c>
      <c r="V314" s="115">
        <v>625.98</v>
      </c>
      <c r="W314" s="115">
        <f t="shared" si="82"/>
        <v>-800002.44000000006</v>
      </c>
      <c r="X314" s="261" t="s">
        <v>5242</v>
      </c>
      <c r="AH314" s="192">
        <v>23</v>
      </c>
      <c r="AI314" s="192" t="s">
        <v>4462</v>
      </c>
      <c r="AJ314" s="186">
        <v>7100</v>
      </c>
      <c r="AK314" s="192">
        <v>0</v>
      </c>
      <c r="AL314" s="147">
        <f t="shared" si="85"/>
        <v>842</v>
      </c>
      <c r="AM314" s="192">
        <f t="shared" si="84"/>
        <v>5978200</v>
      </c>
      <c r="AN314" s="192" t="s">
        <v>649</v>
      </c>
    </row>
    <row r="315" spans="7:40">
      <c r="H315" s="9" t="s">
        <v>5518</v>
      </c>
      <c r="Q315" s="97" t="s">
        <v>452</v>
      </c>
      <c r="T315" s="19" t="s">
        <v>5246</v>
      </c>
      <c r="U315" s="19">
        <v>32049</v>
      </c>
      <c r="V315" s="115">
        <v>624.04600000000005</v>
      </c>
      <c r="W315" s="115">
        <f t="shared" si="82"/>
        <v>20000050.254000001</v>
      </c>
      <c r="X315" s="261" t="s">
        <v>5111</v>
      </c>
      <c r="Z315" t="s">
        <v>25</v>
      </c>
      <c r="AH315" s="20">
        <v>24</v>
      </c>
      <c r="AI315" s="20" t="s">
        <v>4462</v>
      </c>
      <c r="AJ315" s="115">
        <v>-147902</v>
      </c>
      <c r="AK315" s="20">
        <v>3</v>
      </c>
      <c r="AL315" s="97">
        <f t="shared" si="85"/>
        <v>842</v>
      </c>
      <c r="AM315" s="20">
        <f t="shared" si="84"/>
        <v>-124533484</v>
      </c>
      <c r="AN315" s="20"/>
    </row>
    <row r="316" spans="7:40" ht="30">
      <c r="H316" s="9" t="s">
        <v>5519</v>
      </c>
      <c r="Q316" s="97" t="s">
        <v>4400</v>
      </c>
      <c r="R316" s="97"/>
      <c r="T316" s="19" t="s">
        <v>5253</v>
      </c>
      <c r="U316" s="19">
        <v>45094</v>
      </c>
      <c r="V316" s="115">
        <v>614.13559759999998</v>
      </c>
      <c r="W316" s="115">
        <f t="shared" si="82"/>
        <v>27693830.6381744</v>
      </c>
      <c r="X316" s="261" t="s">
        <v>5255</v>
      </c>
      <c r="Y316" t="s">
        <v>25</v>
      </c>
      <c r="AH316" s="147">
        <v>25</v>
      </c>
      <c r="AI316" s="147" t="s">
        <v>4470</v>
      </c>
      <c r="AJ316" s="186">
        <v>-37200</v>
      </c>
      <c r="AK316" s="147">
        <v>4</v>
      </c>
      <c r="AL316" s="147">
        <f t="shared" si="85"/>
        <v>839</v>
      </c>
      <c r="AM316" s="192">
        <f t="shared" si="84"/>
        <v>-31210800</v>
      </c>
      <c r="AN316" s="147" t="s">
        <v>649</v>
      </c>
    </row>
    <row r="317" spans="7:40" ht="30">
      <c r="H317" s="9" t="s">
        <v>5547</v>
      </c>
      <c r="Q317" s="97" t="s">
        <v>4446</v>
      </c>
      <c r="R317" s="93">
        <v>63115000</v>
      </c>
      <c r="T317" s="19" t="s">
        <v>5280</v>
      </c>
      <c r="U317" s="19">
        <v>-11804</v>
      </c>
      <c r="V317" s="115">
        <v>762.46640000000002</v>
      </c>
      <c r="W317" s="115">
        <f t="shared" si="82"/>
        <v>-9000153.3856000006</v>
      </c>
      <c r="X317" s="261" t="s">
        <v>5282</v>
      </c>
      <c r="AH317" s="97">
        <v>26</v>
      </c>
      <c r="AI317" s="97" t="s">
        <v>4497</v>
      </c>
      <c r="AJ317" s="115">
        <v>-372326</v>
      </c>
      <c r="AK317" s="97">
        <v>21</v>
      </c>
      <c r="AL317" s="97">
        <f t="shared" si="85"/>
        <v>835</v>
      </c>
      <c r="AM317" s="20">
        <f t="shared" si="84"/>
        <v>-310892210</v>
      </c>
      <c r="AN317" s="97"/>
    </row>
    <row r="318" spans="7:40">
      <c r="H318" s="281"/>
      <c r="Q318" s="97" t="s">
        <v>4454</v>
      </c>
      <c r="R318" s="93">
        <v>13300000</v>
      </c>
      <c r="T318" s="19" t="s">
        <v>5324</v>
      </c>
      <c r="U318" s="19">
        <v>844</v>
      </c>
      <c r="V318" s="115">
        <v>830</v>
      </c>
      <c r="W318" s="115">
        <f t="shared" si="82"/>
        <v>700520</v>
      </c>
      <c r="X318" s="261" t="s">
        <v>4407</v>
      </c>
      <c r="Y318" t="s">
        <v>25</v>
      </c>
      <c r="AH318" s="97">
        <v>27</v>
      </c>
      <c r="AI318" s="97" t="s">
        <v>4544</v>
      </c>
      <c r="AJ318" s="115">
        <v>235062</v>
      </c>
      <c r="AK318" s="97">
        <v>0</v>
      </c>
      <c r="AL318" s="97">
        <f t="shared" si="85"/>
        <v>814</v>
      </c>
      <c r="AM318" s="20">
        <f t="shared" si="84"/>
        <v>191340468</v>
      </c>
      <c r="AN318" s="97"/>
    </row>
    <row r="319" spans="7:40">
      <c r="Q319" s="97" t="s">
        <v>4552</v>
      </c>
      <c r="R319" s="93">
        <v>2269000</v>
      </c>
      <c r="T319" s="19" t="s">
        <v>5328</v>
      </c>
      <c r="U319" s="19">
        <v>8662</v>
      </c>
      <c r="V319" s="115">
        <v>832.57011999999997</v>
      </c>
      <c r="W319" s="115">
        <f t="shared" si="82"/>
        <v>7211722.3794399993</v>
      </c>
      <c r="X319" s="261" t="s">
        <v>5106</v>
      </c>
      <c r="Z319" t="s">
        <v>25</v>
      </c>
      <c r="AH319" s="147">
        <v>28</v>
      </c>
      <c r="AI319" s="147" t="s">
        <v>4544</v>
      </c>
      <c r="AJ319" s="186">
        <v>235062</v>
      </c>
      <c r="AK319" s="147">
        <v>9</v>
      </c>
      <c r="AL319" s="97">
        <f t="shared" si="85"/>
        <v>814</v>
      </c>
      <c r="AM319" s="147">
        <f t="shared" si="84"/>
        <v>191340468</v>
      </c>
      <c r="AN319" s="147" t="s">
        <v>649</v>
      </c>
    </row>
    <row r="320" spans="7:40" ht="30">
      <c r="Q320" s="97" t="s">
        <v>4561</v>
      </c>
      <c r="R320" s="93">
        <v>25071612</v>
      </c>
      <c r="T320" s="19" t="s">
        <v>5329</v>
      </c>
      <c r="U320" s="19">
        <v>10253</v>
      </c>
      <c r="V320" s="115">
        <v>827.2568</v>
      </c>
      <c r="W320" s="115">
        <f t="shared" si="82"/>
        <v>8481863.9704</v>
      </c>
      <c r="X320" s="261" t="s">
        <v>5332</v>
      </c>
      <c r="AA320" t="s">
        <v>25</v>
      </c>
      <c r="AH320" s="147">
        <v>29</v>
      </c>
      <c r="AI320" s="147" t="s">
        <v>4562</v>
      </c>
      <c r="AJ320" s="186">
        <v>450000</v>
      </c>
      <c r="AK320" s="147">
        <v>0</v>
      </c>
      <c r="AL320" s="97">
        <f t="shared" si="85"/>
        <v>805</v>
      </c>
      <c r="AM320" s="147">
        <f t="shared" si="84"/>
        <v>362250000</v>
      </c>
      <c r="AN320" s="147" t="s">
        <v>649</v>
      </c>
    </row>
    <row r="321" spans="17:44">
      <c r="Q321" s="97" t="s">
        <v>4562</v>
      </c>
      <c r="R321" s="93">
        <v>42236984</v>
      </c>
      <c r="T321" s="230" t="s">
        <v>5333</v>
      </c>
      <c r="U321" s="230">
        <v>-33077</v>
      </c>
      <c r="V321" s="231">
        <v>786.02973999999995</v>
      </c>
      <c r="W321" s="231">
        <f t="shared" si="82"/>
        <v>-25999505.70998</v>
      </c>
      <c r="X321" s="269" t="s">
        <v>5335</v>
      </c>
      <c r="AH321" s="20">
        <v>30</v>
      </c>
      <c r="AI321" s="20" t="s">
        <v>4562</v>
      </c>
      <c r="AJ321" s="115">
        <v>450000</v>
      </c>
      <c r="AK321" s="20">
        <v>22</v>
      </c>
      <c r="AL321" s="97">
        <f>AK321+AL322</f>
        <v>805</v>
      </c>
      <c r="AM321" s="20">
        <f t="shared" si="84"/>
        <v>362250000</v>
      </c>
      <c r="AN321" s="20"/>
    </row>
    <row r="322" spans="17:44">
      <c r="Q322" s="97" t="s">
        <v>4583</v>
      </c>
      <c r="R322" s="93">
        <v>19663646</v>
      </c>
      <c r="T322" s="19" t="s">
        <v>5333</v>
      </c>
      <c r="U322" s="19">
        <v>-33077</v>
      </c>
      <c r="V322" s="115">
        <v>786.02973999999995</v>
      </c>
      <c r="W322" s="115">
        <f t="shared" si="82"/>
        <v>-25999505.70998</v>
      </c>
      <c r="X322" s="261" t="s">
        <v>5336</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4594</v>
      </c>
      <c r="R323" s="93">
        <v>4374525</v>
      </c>
      <c r="T323" s="19" t="s">
        <v>5333</v>
      </c>
      <c r="U323" s="19">
        <v>1983</v>
      </c>
      <c r="V323" s="115">
        <v>786.02973999999995</v>
      </c>
      <c r="W323" s="115">
        <f t="shared" si="82"/>
        <v>1558696.9744199999</v>
      </c>
      <c r="X323" s="261" t="s">
        <v>5106</v>
      </c>
      <c r="AH323" s="119">
        <v>32</v>
      </c>
      <c r="AI323" s="119" t="s">
        <v>4625</v>
      </c>
      <c r="AJ323" s="77">
        <v>288936</v>
      </c>
      <c r="AK323" s="119">
        <v>3</v>
      </c>
      <c r="AL323" s="119">
        <f t="shared" si="86"/>
        <v>783</v>
      </c>
      <c r="AM323" s="119">
        <f t="shared" si="87"/>
        <v>226236888</v>
      </c>
      <c r="AN323" s="201" t="s">
        <v>4636</v>
      </c>
    </row>
    <row r="324" spans="17:44">
      <c r="Q324" s="97" t="s">
        <v>4596</v>
      </c>
      <c r="R324" s="93">
        <v>6550580</v>
      </c>
      <c r="T324" s="230" t="s">
        <v>5337</v>
      </c>
      <c r="U324" s="230">
        <v>-119753</v>
      </c>
      <c r="V324" s="231">
        <v>800.81560000000002</v>
      </c>
      <c r="W324" s="231">
        <f t="shared" si="82"/>
        <v>-95900070.546800002</v>
      </c>
      <c r="X324" s="269" t="s">
        <v>5335</v>
      </c>
      <c r="AH324" s="119">
        <v>33</v>
      </c>
      <c r="AI324" s="119" t="s">
        <v>4634</v>
      </c>
      <c r="AJ324" s="77">
        <v>17962491</v>
      </c>
      <c r="AK324" s="119">
        <v>1</v>
      </c>
      <c r="AL324" s="119">
        <f t="shared" si="86"/>
        <v>780</v>
      </c>
      <c r="AM324" s="119">
        <f t="shared" si="87"/>
        <v>14010742980</v>
      </c>
      <c r="AN324" s="119" t="s">
        <v>4641</v>
      </c>
    </row>
    <row r="325" spans="17:44">
      <c r="Q325" s="97" t="s">
        <v>4612</v>
      </c>
      <c r="R325" s="93">
        <v>7054895</v>
      </c>
      <c r="T325" s="19" t="s">
        <v>5337</v>
      </c>
      <c r="U325" s="19">
        <v>-119753</v>
      </c>
      <c r="V325" s="115">
        <v>800.81560000000002</v>
      </c>
      <c r="W325" s="115">
        <f t="shared" si="82"/>
        <v>-95900070.546800002</v>
      </c>
      <c r="X325" s="261" t="s">
        <v>5336</v>
      </c>
      <c r="AH325" s="119">
        <v>34</v>
      </c>
      <c r="AI325" s="119" t="s">
        <v>3666</v>
      </c>
      <c r="AJ325" s="77">
        <v>18363511</v>
      </c>
      <c r="AK325" s="119">
        <v>1</v>
      </c>
      <c r="AL325" s="119">
        <f t="shared" si="86"/>
        <v>779</v>
      </c>
      <c r="AM325" s="119">
        <f t="shared" si="87"/>
        <v>14305175069</v>
      </c>
      <c r="AN325" s="119" t="s">
        <v>4641</v>
      </c>
    </row>
    <row r="326" spans="17:44">
      <c r="Q326" s="97" t="s">
        <v>4623</v>
      </c>
      <c r="R326" s="93">
        <v>2145814</v>
      </c>
      <c r="S326" s="112"/>
      <c r="T326" s="19" t="s">
        <v>5337</v>
      </c>
      <c r="U326" s="19">
        <v>11291</v>
      </c>
      <c r="V326" s="115">
        <v>800.81560000000002</v>
      </c>
      <c r="W326" s="115">
        <f t="shared" si="82"/>
        <v>9042008.9396000002</v>
      </c>
      <c r="X326" s="261" t="s">
        <v>452</v>
      </c>
      <c r="AA326" t="s">
        <v>25</v>
      </c>
      <c r="AH326" s="119">
        <v>35</v>
      </c>
      <c r="AI326" s="119" t="s">
        <v>4646</v>
      </c>
      <c r="AJ326" s="77">
        <v>23622417</v>
      </c>
      <c r="AK326" s="119">
        <v>5</v>
      </c>
      <c r="AL326" s="119">
        <f t="shared" si="86"/>
        <v>778</v>
      </c>
      <c r="AM326" s="119">
        <f t="shared" si="87"/>
        <v>18378240426</v>
      </c>
      <c r="AN326" s="119" t="s">
        <v>4648</v>
      </c>
    </row>
    <row r="327" spans="17:44">
      <c r="Q327" s="97" t="s">
        <v>4625</v>
      </c>
      <c r="R327" s="93">
        <v>4369730</v>
      </c>
      <c r="T327" s="187" t="s">
        <v>5338</v>
      </c>
      <c r="U327" s="187">
        <v>-35361</v>
      </c>
      <c r="V327" s="186">
        <v>818.697</v>
      </c>
      <c r="W327" s="186">
        <f t="shared" si="82"/>
        <v>-28949944.616999999</v>
      </c>
      <c r="X327" s="260" t="s">
        <v>5335</v>
      </c>
      <c r="Y327" t="s">
        <v>25</v>
      </c>
      <c r="AH327" s="119">
        <v>36</v>
      </c>
      <c r="AI327" s="119" t="s">
        <v>4660</v>
      </c>
      <c r="AJ327" s="77">
        <v>82496108</v>
      </c>
      <c r="AK327" s="119">
        <v>1</v>
      </c>
      <c r="AL327" s="119">
        <f t="shared" si="86"/>
        <v>773</v>
      </c>
      <c r="AM327" s="119">
        <f t="shared" si="87"/>
        <v>63769491484</v>
      </c>
      <c r="AN327" s="119" t="s">
        <v>4663</v>
      </c>
    </row>
    <row r="328" spans="17:44">
      <c r="Q328" s="97" t="s">
        <v>4634</v>
      </c>
      <c r="R328" s="93">
        <v>8739459</v>
      </c>
      <c r="T328" s="19" t="s">
        <v>5338</v>
      </c>
      <c r="U328" s="19">
        <v>-35361</v>
      </c>
      <c r="V328" s="115">
        <v>818.697</v>
      </c>
      <c r="W328" s="115">
        <f t="shared" si="82"/>
        <v>-28949944.616999999</v>
      </c>
      <c r="X328" s="261" t="s">
        <v>5336</v>
      </c>
      <c r="Y328" t="s">
        <v>25</v>
      </c>
      <c r="Z328" t="s">
        <v>25</v>
      </c>
      <c r="AH328" s="119">
        <v>37</v>
      </c>
      <c r="AI328" s="119" t="s">
        <v>4662</v>
      </c>
      <c r="AJ328" s="77">
        <v>74657561</v>
      </c>
      <c r="AK328" s="119">
        <v>16</v>
      </c>
      <c r="AL328" s="119">
        <f t="shared" si="86"/>
        <v>772</v>
      </c>
      <c r="AM328" s="119">
        <f t="shared" si="87"/>
        <v>57635637092</v>
      </c>
      <c r="AN328" s="119" t="s">
        <v>4668</v>
      </c>
    </row>
    <row r="329" spans="17:44">
      <c r="Q329" s="97" t="s">
        <v>3666</v>
      </c>
      <c r="R329" s="93">
        <v>6667654</v>
      </c>
      <c r="T329" s="19" t="s">
        <v>5338</v>
      </c>
      <c r="U329" s="19">
        <v>116</v>
      </c>
      <c r="V329" s="115">
        <v>818.697</v>
      </c>
      <c r="W329" s="115">
        <f t="shared" si="82"/>
        <v>94968.851999999999</v>
      </c>
      <c r="X329" s="261" t="s">
        <v>5106</v>
      </c>
      <c r="AH329" s="97">
        <v>38</v>
      </c>
      <c r="AI329" s="97" t="s">
        <v>4733</v>
      </c>
      <c r="AJ329" s="115">
        <v>665000</v>
      </c>
      <c r="AK329" s="97">
        <v>0</v>
      </c>
      <c r="AL329" s="97">
        <f t="shared" si="86"/>
        <v>756</v>
      </c>
      <c r="AM329" s="20">
        <f t="shared" si="87"/>
        <v>502740000</v>
      </c>
      <c r="AN329" s="97"/>
    </row>
    <row r="330" spans="17:44">
      <c r="Q330" s="97" t="s">
        <v>4646</v>
      </c>
      <c r="R330" s="93">
        <v>8981245</v>
      </c>
      <c r="T330" s="19" t="s">
        <v>5342</v>
      </c>
      <c r="U330" s="19">
        <v>48633</v>
      </c>
      <c r="V330" s="115">
        <v>822.47199999999998</v>
      </c>
      <c r="W330" s="115">
        <f t="shared" si="82"/>
        <v>39999280.776000001</v>
      </c>
      <c r="X330" s="261" t="s">
        <v>5345</v>
      </c>
      <c r="AA330" t="s">
        <v>25</v>
      </c>
      <c r="AH330" s="147">
        <v>39</v>
      </c>
      <c r="AI330" s="147" t="s">
        <v>4733</v>
      </c>
      <c r="AJ330" s="186">
        <v>665000</v>
      </c>
      <c r="AK330" s="147">
        <v>4</v>
      </c>
      <c r="AL330" s="192">
        <f t="shared" si="86"/>
        <v>756</v>
      </c>
      <c r="AM330" s="192">
        <f t="shared" si="87"/>
        <v>502740000</v>
      </c>
      <c r="AN330" s="192"/>
    </row>
    <row r="331" spans="17:44">
      <c r="Q331" s="97" t="s">
        <v>4649</v>
      </c>
      <c r="R331" s="93">
        <v>9181756</v>
      </c>
      <c r="T331" s="19" t="s">
        <v>5342</v>
      </c>
      <c r="U331" s="19">
        <v>3412</v>
      </c>
      <c r="V331" s="115">
        <v>822.47199999999998</v>
      </c>
      <c r="W331" s="115">
        <f t="shared" si="82"/>
        <v>2806274.4640000002</v>
      </c>
      <c r="X331" s="261" t="s">
        <v>5347</v>
      </c>
      <c r="AH331" s="20">
        <v>40</v>
      </c>
      <c r="AI331" s="20" t="s">
        <v>4742</v>
      </c>
      <c r="AJ331" s="115">
        <v>2000000</v>
      </c>
      <c r="AK331" s="20">
        <v>1</v>
      </c>
      <c r="AL331" s="97">
        <f t="shared" si="86"/>
        <v>752</v>
      </c>
      <c r="AM331" s="20">
        <f t="shared" si="87"/>
        <v>1504000000</v>
      </c>
      <c r="AN331" s="97"/>
    </row>
    <row r="332" spans="17:44">
      <c r="Q332" s="97" t="s">
        <v>4662</v>
      </c>
      <c r="R332" s="93">
        <v>11811208</v>
      </c>
      <c r="T332" s="19" t="s">
        <v>5343</v>
      </c>
      <c r="U332" s="19">
        <v>1531</v>
      </c>
      <c r="V332" s="115">
        <v>869.82500000000005</v>
      </c>
      <c r="W332" s="115">
        <f t="shared" si="82"/>
        <v>1331702.075</v>
      </c>
      <c r="X332" s="261" t="s">
        <v>5348</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4669</v>
      </c>
      <c r="R333" s="93">
        <v>41248054</v>
      </c>
      <c r="T333" s="19" t="s">
        <v>5351</v>
      </c>
      <c r="U333" s="19">
        <v>1019</v>
      </c>
      <c r="V333" s="115">
        <v>835.36580000000004</v>
      </c>
      <c r="W333" s="115">
        <f t="shared" si="82"/>
        <v>851237.75020000001</v>
      </c>
      <c r="X333" s="261" t="s">
        <v>452</v>
      </c>
      <c r="AH333" s="147">
        <v>42</v>
      </c>
      <c r="AI333" s="147" t="s">
        <v>4747</v>
      </c>
      <c r="AJ333" s="186">
        <v>-433375</v>
      </c>
      <c r="AK333" s="147">
        <v>0</v>
      </c>
      <c r="AL333" s="147">
        <f t="shared" si="86"/>
        <v>751</v>
      </c>
      <c r="AM333" s="147">
        <f t="shared" si="88"/>
        <v>-325464625</v>
      </c>
      <c r="AN333" s="147" t="s">
        <v>4749</v>
      </c>
    </row>
    <row r="334" spans="17:44">
      <c r="Q334" s="97" t="s">
        <v>4675</v>
      </c>
      <c r="R334" s="93">
        <v>37328780</v>
      </c>
      <c r="T334" s="187" t="s">
        <v>5357</v>
      </c>
      <c r="U334" s="187">
        <v>2316</v>
      </c>
      <c r="V334" s="186">
        <v>818.697</v>
      </c>
      <c r="W334" s="186">
        <f t="shared" si="82"/>
        <v>1896102.2520000001</v>
      </c>
      <c r="X334" s="260" t="s">
        <v>5360</v>
      </c>
      <c r="AH334" s="20">
        <v>43</v>
      </c>
      <c r="AI334" s="20" t="s">
        <v>4747</v>
      </c>
      <c r="AJ334" s="115">
        <v>28000000</v>
      </c>
      <c r="AK334" s="20">
        <v>1</v>
      </c>
      <c r="AL334" s="97">
        <f t="shared" si="86"/>
        <v>751</v>
      </c>
      <c r="AM334" s="20">
        <f t="shared" si="88"/>
        <v>21028000000</v>
      </c>
      <c r="AN334" s="97" t="s">
        <v>3873</v>
      </c>
    </row>
    <row r="335" spans="17:44">
      <c r="Q335" s="97" t="s">
        <v>4733</v>
      </c>
      <c r="R335" s="93">
        <v>50000000</v>
      </c>
      <c r="T335" s="19" t="s">
        <v>5363</v>
      </c>
      <c r="U335" s="19">
        <v>315</v>
      </c>
      <c r="V335" s="115">
        <v>680</v>
      </c>
      <c r="W335" s="115">
        <f t="shared" si="82"/>
        <v>214200</v>
      </c>
      <c r="X335" s="261" t="s">
        <v>5106</v>
      </c>
      <c r="AH335" s="20">
        <v>44</v>
      </c>
      <c r="AI335" s="20" t="s">
        <v>4756</v>
      </c>
      <c r="AJ335" s="115">
        <v>160000</v>
      </c>
      <c r="AK335" s="20">
        <v>0</v>
      </c>
      <c r="AL335" s="97">
        <f t="shared" si="86"/>
        <v>750</v>
      </c>
      <c r="AM335" s="20">
        <f t="shared" si="88"/>
        <v>120000000</v>
      </c>
      <c r="AN335" s="97"/>
    </row>
    <row r="336" spans="17:44">
      <c r="Q336" s="97" t="s">
        <v>4742</v>
      </c>
      <c r="R336" s="93">
        <v>68656</v>
      </c>
      <c r="T336" s="19" t="s">
        <v>5385</v>
      </c>
      <c r="U336" s="19">
        <v>832</v>
      </c>
      <c r="V336" s="115">
        <v>784.36500000000001</v>
      </c>
      <c r="W336" s="115">
        <f t="shared" si="82"/>
        <v>652591.68000000005</v>
      </c>
      <c r="X336" s="261" t="s">
        <v>5106</v>
      </c>
      <c r="Y336" t="s">
        <v>25</v>
      </c>
      <c r="AH336" s="147">
        <v>45</v>
      </c>
      <c r="AI336" s="147" t="s">
        <v>4756</v>
      </c>
      <c r="AJ336" s="186">
        <v>70000</v>
      </c>
      <c r="AK336" s="147">
        <v>9</v>
      </c>
      <c r="AL336" s="147">
        <f t="shared" si="86"/>
        <v>750</v>
      </c>
      <c r="AM336" s="147">
        <f t="shared" si="88"/>
        <v>52500000</v>
      </c>
      <c r="AN336" s="147"/>
      <c r="AR336" t="s">
        <v>25</v>
      </c>
    </row>
    <row r="337" spans="17:46">
      <c r="Q337" s="97" t="s">
        <v>4742</v>
      </c>
      <c r="R337" s="93">
        <v>4000236</v>
      </c>
      <c r="T337" s="19" t="s">
        <v>5429</v>
      </c>
      <c r="U337" s="19">
        <v>382</v>
      </c>
      <c r="V337" s="115">
        <v>1450.6065000000001</v>
      </c>
      <c r="W337" s="115">
        <f t="shared" si="82"/>
        <v>554131.68300000008</v>
      </c>
      <c r="X337" s="261" t="s">
        <v>5106</v>
      </c>
      <c r="Y337" t="s">
        <v>25</v>
      </c>
      <c r="AH337" s="20">
        <v>46</v>
      </c>
      <c r="AI337" s="20" t="s">
        <v>4762</v>
      </c>
      <c r="AJ337" s="115">
        <v>850000</v>
      </c>
      <c r="AK337" s="20">
        <v>0</v>
      </c>
      <c r="AL337" s="97">
        <f t="shared" si="86"/>
        <v>741</v>
      </c>
      <c r="AM337" s="20">
        <f t="shared" si="88"/>
        <v>629850000</v>
      </c>
      <c r="AN337" s="97"/>
      <c r="AS337" t="s">
        <v>25</v>
      </c>
    </row>
    <row r="338" spans="17:46">
      <c r="Q338" s="97" t="s">
        <v>4747</v>
      </c>
      <c r="R338" s="93">
        <v>2250000</v>
      </c>
      <c r="T338" s="19" t="s">
        <v>5430</v>
      </c>
      <c r="U338" s="19">
        <v>50047</v>
      </c>
      <c r="V338" s="115">
        <v>1406.14</v>
      </c>
      <c r="W338" s="115">
        <f t="shared" si="82"/>
        <v>70373088.579999998</v>
      </c>
      <c r="X338" s="261" t="s">
        <v>5106</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4756</v>
      </c>
      <c r="R339" s="93">
        <v>-2512200</v>
      </c>
      <c r="T339" s="19" t="s">
        <v>5431</v>
      </c>
      <c r="U339" s="19">
        <v>846</v>
      </c>
      <c r="V339" s="115">
        <v>1441.6724569999999</v>
      </c>
      <c r="W339" s="115">
        <f t="shared" si="82"/>
        <v>1219654.8986219999</v>
      </c>
      <c r="X339" s="261" t="s">
        <v>5106</v>
      </c>
      <c r="Y339" t="s">
        <v>25</v>
      </c>
      <c r="Z339" t="s">
        <v>25</v>
      </c>
      <c r="AH339" s="192">
        <v>48</v>
      </c>
      <c r="AI339" s="192" t="s">
        <v>4775</v>
      </c>
      <c r="AJ339" s="193">
        <v>30000000</v>
      </c>
      <c r="AK339" s="192">
        <v>27</v>
      </c>
      <c r="AL339" s="192">
        <f t="shared" si="89"/>
        <v>737</v>
      </c>
      <c r="AM339" s="192">
        <f t="shared" si="90"/>
        <v>22110000000</v>
      </c>
      <c r="AN339" s="192" t="s">
        <v>4776</v>
      </c>
      <c r="AS339" t="s">
        <v>25</v>
      </c>
    </row>
    <row r="340" spans="17:46">
      <c r="Q340" s="97" t="s">
        <v>964</v>
      </c>
      <c r="R340" s="93">
        <v>300000</v>
      </c>
      <c r="T340" s="19" t="s">
        <v>5432</v>
      </c>
      <c r="U340" s="19">
        <v>10573</v>
      </c>
      <c r="V340" s="115">
        <v>1451.825</v>
      </c>
      <c r="W340" s="115">
        <f t="shared" si="82"/>
        <v>15350145.725</v>
      </c>
      <c r="X340" s="261" t="s">
        <v>5106</v>
      </c>
      <c r="Y340" t="s">
        <v>25</v>
      </c>
      <c r="AH340" s="20">
        <v>49</v>
      </c>
      <c r="AI340" s="20" t="s">
        <v>4843</v>
      </c>
      <c r="AJ340" s="115">
        <v>1100000</v>
      </c>
      <c r="AK340" s="20">
        <v>1</v>
      </c>
      <c r="AL340" s="20">
        <f t="shared" si="89"/>
        <v>710</v>
      </c>
      <c r="AM340" s="20">
        <f t="shared" si="90"/>
        <v>781000000</v>
      </c>
      <c r="AN340" s="20"/>
    </row>
    <row r="341" spans="17:46" ht="30">
      <c r="Q341" s="97" t="s">
        <v>4762</v>
      </c>
      <c r="R341" s="93">
        <v>1100000</v>
      </c>
      <c r="T341" s="19" t="s">
        <v>5433</v>
      </c>
      <c r="U341" s="19">
        <v>85</v>
      </c>
      <c r="V341" s="115">
        <v>1423.74</v>
      </c>
      <c r="W341" s="115">
        <f t="shared" si="82"/>
        <v>121017.9</v>
      </c>
      <c r="X341" s="261" t="s">
        <v>5434</v>
      </c>
      <c r="Y341" t="s">
        <v>25</v>
      </c>
      <c r="AH341" s="20">
        <v>50</v>
      </c>
      <c r="AI341" s="20" t="s">
        <v>4844</v>
      </c>
      <c r="AJ341" s="115">
        <v>450000</v>
      </c>
      <c r="AK341" s="20">
        <v>0</v>
      </c>
      <c r="AL341" s="20">
        <f t="shared" si="89"/>
        <v>709</v>
      </c>
      <c r="AM341" s="20">
        <f t="shared" si="90"/>
        <v>319050000</v>
      </c>
      <c r="AN341" s="20"/>
    </row>
    <row r="342" spans="17:46" ht="30">
      <c r="Q342" s="97" t="s">
        <v>4782</v>
      </c>
      <c r="R342" s="93">
        <v>890000</v>
      </c>
      <c r="T342" s="19" t="s">
        <v>5437</v>
      </c>
      <c r="U342" s="19">
        <v>738</v>
      </c>
      <c r="V342" s="115">
        <v>1388.87895</v>
      </c>
      <c r="W342" s="115">
        <f t="shared" si="82"/>
        <v>1024992.6651</v>
      </c>
      <c r="X342" s="261" t="s">
        <v>5441</v>
      </c>
      <c r="Y342" t="s">
        <v>25</v>
      </c>
      <c r="AH342" s="147">
        <v>51</v>
      </c>
      <c r="AI342" s="147" t="s">
        <v>4844</v>
      </c>
      <c r="AJ342" s="186">
        <v>550000</v>
      </c>
      <c r="AK342" s="147">
        <v>1</v>
      </c>
      <c r="AL342" s="147">
        <f t="shared" si="89"/>
        <v>709</v>
      </c>
      <c r="AM342" s="147">
        <f t="shared" si="90"/>
        <v>389950000</v>
      </c>
      <c r="AN342" s="147"/>
    </row>
    <row r="343" spans="17:46">
      <c r="Q343" s="97" t="s">
        <v>4783</v>
      </c>
      <c r="R343" s="93">
        <v>1000000</v>
      </c>
      <c r="T343" s="19" t="s">
        <v>5449</v>
      </c>
      <c r="U343" s="19">
        <v>1442</v>
      </c>
      <c r="V343" s="115">
        <v>1350.9547279999999</v>
      </c>
      <c r="W343" s="115">
        <f t="shared" si="82"/>
        <v>1948076.7177759998</v>
      </c>
      <c r="X343" s="261" t="s">
        <v>5106</v>
      </c>
      <c r="AA343" t="s">
        <v>25</v>
      </c>
      <c r="AH343" s="147">
        <v>52</v>
      </c>
      <c r="AI343" s="147" t="s">
        <v>4846</v>
      </c>
      <c r="AJ343" s="186">
        <v>1000000</v>
      </c>
      <c r="AK343" s="147">
        <v>8</v>
      </c>
      <c r="AL343" s="147">
        <f t="shared" si="89"/>
        <v>708</v>
      </c>
      <c r="AM343" s="147">
        <f t="shared" si="90"/>
        <v>708000000</v>
      </c>
      <c r="AN343" s="147"/>
    </row>
    <row r="344" spans="17:46">
      <c r="Q344" s="97" t="s">
        <v>4783</v>
      </c>
      <c r="R344" s="93">
        <v>45436311</v>
      </c>
      <c r="T344" s="19" t="s">
        <v>5450</v>
      </c>
      <c r="U344" s="19">
        <v>36847</v>
      </c>
      <c r="V344" s="115">
        <v>1356.9658300000001</v>
      </c>
      <c r="W344" s="115">
        <f t="shared" si="82"/>
        <v>50000119.938010007</v>
      </c>
      <c r="X344" s="261" t="s">
        <v>5111</v>
      </c>
      <c r="AH344" s="20">
        <v>53</v>
      </c>
      <c r="AI344" s="20" t="s">
        <v>4855</v>
      </c>
      <c r="AJ344" s="115">
        <v>-2668880</v>
      </c>
      <c r="AK344" s="20">
        <v>0</v>
      </c>
      <c r="AL344" s="20">
        <f t="shared" si="89"/>
        <v>700</v>
      </c>
      <c r="AM344" s="20">
        <f t="shared" si="90"/>
        <v>-1868216000</v>
      </c>
      <c r="AN344" s="20" t="s">
        <v>4857</v>
      </c>
    </row>
    <row r="345" spans="17:46" ht="30">
      <c r="Q345" s="97" t="s">
        <v>4795</v>
      </c>
      <c r="R345" s="93">
        <v>-3500000</v>
      </c>
      <c r="T345" s="19" t="s">
        <v>5451</v>
      </c>
      <c r="U345" s="19">
        <v>13738</v>
      </c>
      <c r="V345" s="115">
        <v>1455.82</v>
      </c>
      <c r="W345" s="115">
        <f t="shared" si="82"/>
        <v>20000055.16</v>
      </c>
      <c r="X345" s="261" t="s">
        <v>5467</v>
      </c>
      <c r="Y345" t="s">
        <v>25</v>
      </c>
      <c r="AA345" t="s">
        <v>25</v>
      </c>
      <c r="AH345" s="147">
        <v>54</v>
      </c>
      <c r="AI345" s="147" t="s">
        <v>4855</v>
      </c>
      <c r="AJ345" s="186">
        <v>-1528620</v>
      </c>
      <c r="AK345" s="147">
        <v>0</v>
      </c>
      <c r="AL345" s="147">
        <f t="shared" si="89"/>
        <v>700</v>
      </c>
      <c r="AM345" s="147">
        <f t="shared" si="90"/>
        <v>-1070034000</v>
      </c>
      <c r="AN345" s="147" t="s">
        <v>4857</v>
      </c>
    </row>
    <row r="346" spans="17:46">
      <c r="Q346" s="97" t="s">
        <v>4830</v>
      </c>
      <c r="R346" s="93">
        <v>2520000</v>
      </c>
      <c r="T346" s="19" t="s">
        <v>5474</v>
      </c>
      <c r="U346" s="19">
        <v>3100</v>
      </c>
      <c r="V346" s="115">
        <v>1853.4507470000001</v>
      </c>
      <c r="W346" s="115">
        <f t="shared" si="82"/>
        <v>5745697.3157000002</v>
      </c>
      <c r="X346" s="261" t="s">
        <v>5106</v>
      </c>
      <c r="Y346" t="s">
        <v>25</v>
      </c>
      <c r="AH346" s="20">
        <v>55</v>
      </c>
      <c r="AI346" s="20" t="s">
        <v>4855</v>
      </c>
      <c r="AJ346" s="115">
        <v>50000000</v>
      </c>
      <c r="AK346" s="20">
        <v>4</v>
      </c>
      <c r="AL346" s="20">
        <f t="shared" si="89"/>
        <v>700</v>
      </c>
      <c r="AM346" s="20">
        <f t="shared" si="90"/>
        <v>35000000000</v>
      </c>
      <c r="AN346" s="20"/>
    </row>
    <row r="347" spans="17:46">
      <c r="Q347" s="97" t="s">
        <v>4843</v>
      </c>
      <c r="R347" s="93">
        <v>4900000</v>
      </c>
      <c r="T347" s="19" t="s">
        <v>5475</v>
      </c>
      <c r="U347" s="19">
        <v>480</v>
      </c>
      <c r="V347" s="115">
        <v>1891.9962069999999</v>
      </c>
      <c r="W347" s="115">
        <f t="shared" si="82"/>
        <v>908158.17935999995</v>
      </c>
      <c r="X347" s="261" t="s">
        <v>5106</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4802</v>
      </c>
      <c r="R348" s="93">
        <v>1150000</v>
      </c>
      <c r="T348" s="19" t="s">
        <v>5476</v>
      </c>
      <c r="U348" s="19">
        <v>6522</v>
      </c>
      <c r="V348" s="115">
        <v>1938.4694340000001</v>
      </c>
      <c r="W348" s="115">
        <f t="shared" si="82"/>
        <v>12642697.648548001</v>
      </c>
      <c r="X348" s="261" t="s">
        <v>5106</v>
      </c>
      <c r="AH348" s="20">
        <v>57</v>
      </c>
      <c r="AI348" s="20" t="s">
        <v>4870</v>
      </c>
      <c r="AJ348" s="115">
        <v>2000000</v>
      </c>
      <c r="AK348" s="20">
        <v>3</v>
      </c>
      <c r="AL348" s="20">
        <f t="shared" si="91"/>
        <v>692</v>
      </c>
      <c r="AM348" s="20">
        <f t="shared" si="92"/>
        <v>1384000000</v>
      </c>
      <c r="AN348" s="20"/>
    </row>
    <row r="349" spans="17:46">
      <c r="Q349" s="97" t="s">
        <v>4877</v>
      </c>
      <c r="R349" s="93">
        <v>250000</v>
      </c>
      <c r="T349" s="19" t="s">
        <v>5477</v>
      </c>
      <c r="U349" s="19">
        <v>6197</v>
      </c>
      <c r="V349" s="115">
        <v>1984.3985499999999</v>
      </c>
      <c r="W349" s="115">
        <f t="shared" si="82"/>
        <v>12297317.81435</v>
      </c>
      <c r="X349" s="261" t="s">
        <v>5106</v>
      </c>
      <c r="AA349" t="s">
        <v>25</v>
      </c>
      <c r="AH349" s="20">
        <v>58</v>
      </c>
      <c r="AI349" s="20" t="s">
        <v>4873</v>
      </c>
      <c r="AJ349" s="115">
        <v>100000</v>
      </c>
      <c r="AK349" s="20">
        <v>4</v>
      </c>
      <c r="AL349" s="20">
        <f t="shared" si="91"/>
        <v>689</v>
      </c>
      <c r="AM349" s="20">
        <f t="shared" si="92"/>
        <v>68900000</v>
      </c>
      <c r="AN349" s="20" t="s">
        <v>3873</v>
      </c>
    </row>
    <row r="350" spans="17:46">
      <c r="Q350" s="97" t="s">
        <v>4880</v>
      </c>
      <c r="R350" s="93">
        <v>1403460</v>
      </c>
      <c r="T350" s="19" t="s">
        <v>5478</v>
      </c>
      <c r="U350" s="19">
        <v>4646</v>
      </c>
      <c r="V350" s="115">
        <v>1928.464023</v>
      </c>
      <c r="W350" s="115">
        <f t="shared" si="82"/>
        <v>8959643.8508579992</v>
      </c>
      <c r="X350" s="261" t="s">
        <v>5106</v>
      </c>
      <c r="Z350" t="s">
        <v>25</v>
      </c>
      <c r="AA350" t="s">
        <v>25</v>
      </c>
      <c r="AH350" s="20">
        <v>59</v>
      </c>
      <c r="AI350" s="20" t="s">
        <v>4880</v>
      </c>
      <c r="AJ350" s="115">
        <v>100000</v>
      </c>
      <c r="AK350" s="20">
        <v>7</v>
      </c>
      <c r="AL350" s="20">
        <f t="shared" si="91"/>
        <v>685</v>
      </c>
      <c r="AM350" s="20">
        <f t="shared" si="92"/>
        <v>68500000</v>
      </c>
      <c r="AN350" s="20"/>
    </row>
    <row r="351" spans="17:46">
      <c r="Q351" s="97" t="s">
        <v>4885</v>
      </c>
      <c r="R351" s="93">
        <v>200000</v>
      </c>
      <c r="T351" s="19" t="s">
        <v>5479</v>
      </c>
      <c r="U351" s="19">
        <v>7668</v>
      </c>
      <c r="V351" s="115">
        <v>1976.2774959999999</v>
      </c>
      <c r="W351" s="115">
        <f t="shared" si="82"/>
        <v>15154095.839328</v>
      </c>
      <c r="X351" s="261" t="s">
        <v>5106</v>
      </c>
      <c r="AH351" s="20">
        <v>60</v>
      </c>
      <c r="AI351" s="20" t="s">
        <v>4893</v>
      </c>
      <c r="AJ351" s="115">
        <v>50000</v>
      </c>
      <c r="AK351" s="20">
        <v>0</v>
      </c>
      <c r="AL351" s="20">
        <f t="shared" si="91"/>
        <v>678</v>
      </c>
      <c r="AM351" s="20">
        <f t="shared" si="92"/>
        <v>33900000</v>
      </c>
      <c r="AN351" s="20"/>
    </row>
    <row r="352" spans="17:46" ht="30">
      <c r="Q352" s="97" t="s">
        <v>4890</v>
      </c>
      <c r="R352" s="93">
        <v>345000</v>
      </c>
      <c r="T352" s="19" t="s">
        <v>5486</v>
      </c>
      <c r="U352" s="19">
        <v>-43325</v>
      </c>
      <c r="V352" s="115">
        <v>2146.5548840000001</v>
      </c>
      <c r="W352" s="115">
        <f t="shared" si="82"/>
        <v>-92999490.349300012</v>
      </c>
      <c r="X352" s="261" t="s">
        <v>5487</v>
      </c>
      <c r="Y352" t="s">
        <v>25</v>
      </c>
      <c r="AH352" s="147">
        <v>61</v>
      </c>
      <c r="AI352" s="147" t="s">
        <v>4893</v>
      </c>
      <c r="AJ352" s="186">
        <v>50000</v>
      </c>
      <c r="AK352" s="147">
        <v>3</v>
      </c>
      <c r="AL352" s="147">
        <f t="shared" si="91"/>
        <v>678</v>
      </c>
      <c r="AM352" s="147">
        <f t="shared" si="92"/>
        <v>33900000</v>
      </c>
      <c r="AN352" s="147"/>
    </row>
    <row r="353" spans="17:45">
      <c r="Q353" s="97" t="s">
        <v>4893</v>
      </c>
      <c r="R353" s="93">
        <v>900000</v>
      </c>
      <c r="S353" s="112"/>
      <c r="T353" s="19" t="s">
        <v>5494</v>
      </c>
      <c r="U353" s="19">
        <v>20888</v>
      </c>
      <c r="V353" s="115">
        <v>2428.4521530000002</v>
      </c>
      <c r="W353" s="115">
        <f t="shared" si="82"/>
        <v>50725508.571864001</v>
      </c>
      <c r="X353" s="261" t="s">
        <v>5106</v>
      </c>
      <c r="AH353" s="20">
        <v>62</v>
      </c>
      <c r="AI353" s="20" t="s">
        <v>4896</v>
      </c>
      <c r="AJ353" s="115">
        <v>50000</v>
      </c>
      <c r="AK353" s="20">
        <v>0</v>
      </c>
      <c r="AL353" s="20">
        <f t="shared" si="91"/>
        <v>675</v>
      </c>
      <c r="AM353" s="20">
        <f t="shared" si="92"/>
        <v>33750000</v>
      </c>
      <c r="AN353" s="20"/>
    </row>
    <row r="354" spans="17:45">
      <c r="Q354" s="97" t="s">
        <v>4901</v>
      </c>
      <c r="R354" s="93">
        <v>372517</v>
      </c>
      <c r="T354" s="19" t="s">
        <v>5495</v>
      </c>
      <c r="U354" s="19">
        <v>21663</v>
      </c>
      <c r="V354" s="115">
        <v>2308.0067819999999</v>
      </c>
      <c r="W354" s="115">
        <f t="shared" si="82"/>
        <v>49998350.918466002</v>
      </c>
      <c r="X354" s="261" t="s">
        <v>5498</v>
      </c>
      <c r="Y354" t="s">
        <v>25</v>
      </c>
      <c r="AH354" s="192">
        <v>63</v>
      </c>
      <c r="AI354" s="192" t="s">
        <v>4896</v>
      </c>
      <c r="AJ354" s="193">
        <v>50000</v>
      </c>
      <c r="AK354" s="192">
        <v>2</v>
      </c>
      <c r="AL354" s="192">
        <f t="shared" si="91"/>
        <v>675</v>
      </c>
      <c r="AM354" s="192">
        <f t="shared" si="92"/>
        <v>33750000</v>
      </c>
      <c r="AN354" s="192"/>
    </row>
    <row r="355" spans="17:45">
      <c r="Q355" s="97" t="s">
        <v>4934</v>
      </c>
      <c r="R355" s="93">
        <v>6489257</v>
      </c>
      <c r="T355" s="19" t="s">
        <v>5495</v>
      </c>
      <c r="U355" s="19">
        <v>977</v>
      </c>
      <c r="V355" s="115">
        <v>2335.6821479999999</v>
      </c>
      <c r="W355" s="115">
        <f t="shared" si="82"/>
        <v>2281961.458596</v>
      </c>
      <c r="X355" s="261" t="s">
        <v>5106</v>
      </c>
      <c r="AH355" s="20">
        <v>64</v>
      </c>
      <c r="AI355" s="20" t="s">
        <v>4903</v>
      </c>
      <c r="AJ355" s="115">
        <v>25000</v>
      </c>
      <c r="AK355" s="20">
        <v>0</v>
      </c>
      <c r="AL355" s="20">
        <f t="shared" si="91"/>
        <v>673</v>
      </c>
      <c r="AM355" s="20">
        <f t="shared" si="92"/>
        <v>16825000</v>
      </c>
      <c r="AN355" s="20"/>
    </row>
    <row r="356" spans="17:45">
      <c r="Q356" s="97" t="s">
        <v>4945</v>
      </c>
      <c r="R356" s="93">
        <v>618000</v>
      </c>
      <c r="T356" s="19" t="s">
        <v>5502</v>
      </c>
      <c r="U356" s="19">
        <v>4155</v>
      </c>
      <c r="V356" s="115">
        <v>2647</v>
      </c>
      <c r="W356" s="115">
        <f t="shared" si="82"/>
        <v>10998285</v>
      </c>
      <c r="X356" s="261" t="s">
        <v>5106</v>
      </c>
      <c r="AH356" s="147">
        <v>65</v>
      </c>
      <c r="AI356" s="147" t="s">
        <v>4903</v>
      </c>
      <c r="AJ356" s="186">
        <v>35000</v>
      </c>
      <c r="AK356" s="147">
        <v>7</v>
      </c>
      <c r="AL356" s="147">
        <f t="shared" si="91"/>
        <v>673</v>
      </c>
      <c r="AM356" s="147">
        <f t="shared" si="92"/>
        <v>23555000</v>
      </c>
      <c r="AN356" s="147"/>
    </row>
    <row r="357" spans="17:45">
      <c r="Q357" s="97" t="s">
        <v>4949</v>
      </c>
      <c r="R357" s="93">
        <v>20105000</v>
      </c>
      <c r="T357" s="19" t="s">
        <v>5503</v>
      </c>
      <c r="U357" s="19">
        <v>351</v>
      </c>
      <c r="V357" s="115">
        <v>2800.6238229999999</v>
      </c>
      <c r="W357" s="115">
        <f t="shared" si="82"/>
        <v>983018.96187300002</v>
      </c>
      <c r="X357" s="261"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4950</v>
      </c>
      <c r="R358" s="93">
        <v>-21079990</v>
      </c>
      <c r="T358" s="19" t="s">
        <v>5505</v>
      </c>
      <c r="U358" s="19">
        <v>5877</v>
      </c>
      <c r="V358" s="115">
        <v>2901.0160000000001</v>
      </c>
      <c r="W358" s="115">
        <f t="shared" si="82"/>
        <v>17049271.032000002</v>
      </c>
      <c r="X358" s="261" t="s">
        <v>5106</v>
      </c>
      <c r="Y358" t="s">
        <v>25</v>
      </c>
      <c r="AH358" s="20">
        <v>67</v>
      </c>
      <c r="AI358" s="20" t="s">
        <v>4911</v>
      </c>
      <c r="AJ358" s="115">
        <v>6800000</v>
      </c>
      <c r="AK358" s="20">
        <v>1</v>
      </c>
      <c r="AL358" s="20">
        <f t="shared" si="93"/>
        <v>666</v>
      </c>
      <c r="AM358" s="20">
        <f t="shared" si="94"/>
        <v>4528800000</v>
      </c>
      <c r="AN358" s="20"/>
      <c r="AS358" t="s">
        <v>25</v>
      </c>
    </row>
    <row r="359" spans="17:45" ht="21" customHeight="1">
      <c r="Q359" s="97" t="s">
        <v>4956</v>
      </c>
      <c r="R359" s="93">
        <v>-5949277</v>
      </c>
      <c r="T359" s="19" t="s">
        <v>5508</v>
      </c>
      <c r="U359" s="19">
        <v>2374</v>
      </c>
      <c r="V359" s="115">
        <v>2877</v>
      </c>
      <c r="W359" s="115">
        <f t="shared" ref="W359:W396" si="95">U359*V359</f>
        <v>6829998</v>
      </c>
      <c r="X359" s="261" t="s">
        <v>5106</v>
      </c>
      <c r="AH359" s="20">
        <v>68</v>
      </c>
      <c r="AI359" s="20" t="s">
        <v>4914</v>
      </c>
      <c r="AJ359" s="115">
        <v>500000</v>
      </c>
      <c r="AK359" s="20">
        <v>1</v>
      </c>
      <c r="AL359" s="20">
        <f t="shared" si="93"/>
        <v>665</v>
      </c>
      <c r="AM359" s="20">
        <f t="shared" si="94"/>
        <v>332500000</v>
      </c>
      <c r="AN359" s="20"/>
    </row>
    <row r="360" spans="17:45">
      <c r="Q360" s="97" t="s">
        <v>4962</v>
      </c>
      <c r="R360" s="93">
        <v>-15370656</v>
      </c>
      <c r="T360" s="19" t="s">
        <v>4210</v>
      </c>
      <c r="U360" s="19">
        <v>2532</v>
      </c>
      <c r="V360" s="115">
        <v>2757.7444</v>
      </c>
      <c r="W360" s="115">
        <f t="shared" si="95"/>
        <v>6982608.8207999999</v>
      </c>
      <c r="X360" s="261" t="s">
        <v>5106</v>
      </c>
      <c r="AH360" s="20">
        <v>69</v>
      </c>
      <c r="AI360" s="20" t="s">
        <v>4918</v>
      </c>
      <c r="AJ360" s="115">
        <v>850000</v>
      </c>
      <c r="AK360" s="20">
        <v>5</v>
      </c>
      <c r="AL360" s="20">
        <f t="shared" si="93"/>
        <v>664</v>
      </c>
      <c r="AM360" s="20">
        <f t="shared" si="94"/>
        <v>564400000</v>
      </c>
      <c r="AN360" s="20"/>
    </row>
    <row r="361" spans="17:45">
      <c r="Q361" s="97" t="s">
        <v>4962</v>
      </c>
      <c r="R361" s="93">
        <v>4960000</v>
      </c>
      <c r="T361" s="19" t="s">
        <v>4210</v>
      </c>
      <c r="U361" s="19">
        <v>4987</v>
      </c>
      <c r="V361" s="115">
        <v>2757.7444</v>
      </c>
      <c r="W361" s="115">
        <f t="shared" si="95"/>
        <v>13752871.322800001</v>
      </c>
      <c r="X361" s="261" t="s">
        <v>5524</v>
      </c>
      <c r="Y361" t="s">
        <v>25</v>
      </c>
      <c r="AH361" s="20">
        <v>70</v>
      </c>
      <c r="AI361" s="20" t="s">
        <v>4926</v>
      </c>
      <c r="AJ361" s="115">
        <v>1130250</v>
      </c>
      <c r="AK361" s="20">
        <v>0</v>
      </c>
      <c r="AL361" s="20">
        <f t="shared" si="93"/>
        <v>659</v>
      </c>
      <c r="AM361" s="20">
        <f t="shared" si="94"/>
        <v>744834750</v>
      </c>
      <c r="AN361" s="20"/>
    </row>
    <row r="362" spans="17:45" ht="18.75" customHeight="1">
      <c r="Q362" s="97" t="s">
        <v>4969</v>
      </c>
      <c r="R362" s="93">
        <v>10000000</v>
      </c>
      <c r="S362" t="s">
        <v>25</v>
      </c>
      <c r="T362" s="19" t="s">
        <v>4210</v>
      </c>
      <c r="U362" s="19">
        <v>997</v>
      </c>
      <c r="V362" s="115">
        <v>2757.7444</v>
      </c>
      <c r="W362" s="115">
        <f t="shared" si="95"/>
        <v>2749471.1668000002</v>
      </c>
      <c r="X362" s="261" t="s">
        <v>5525</v>
      </c>
      <c r="AH362" s="240">
        <v>71</v>
      </c>
      <c r="AI362" s="240" t="s">
        <v>4926</v>
      </c>
      <c r="AJ362" s="231">
        <v>30000</v>
      </c>
      <c r="AK362" s="240">
        <v>5</v>
      </c>
      <c r="AL362" s="240">
        <f t="shared" si="93"/>
        <v>659</v>
      </c>
      <c r="AM362" s="240">
        <f t="shared" si="94"/>
        <v>19770000</v>
      </c>
      <c r="AN362" s="240"/>
    </row>
    <row r="363" spans="17:45">
      <c r="Q363" s="97" t="s">
        <v>4978</v>
      </c>
      <c r="R363" s="93">
        <v>-40570100</v>
      </c>
      <c r="T363" s="19" t="s">
        <v>5529</v>
      </c>
      <c r="U363" s="19">
        <v>2874</v>
      </c>
      <c r="V363" s="115">
        <v>2613.1284000000001</v>
      </c>
      <c r="W363" s="115">
        <f t="shared" si="95"/>
        <v>7510131.0216000006</v>
      </c>
      <c r="X363" s="261" t="s">
        <v>5106</v>
      </c>
      <c r="AH363" s="20">
        <v>72</v>
      </c>
      <c r="AI363" s="20" t="s">
        <v>4934</v>
      </c>
      <c r="AJ363" s="115">
        <v>206000</v>
      </c>
      <c r="AK363" s="20">
        <v>0</v>
      </c>
      <c r="AL363" s="20">
        <f t="shared" si="93"/>
        <v>654</v>
      </c>
      <c r="AM363" s="20">
        <f t="shared" si="94"/>
        <v>134724000</v>
      </c>
      <c r="AN363" s="20"/>
    </row>
    <row r="364" spans="17:45">
      <c r="Q364" s="97" t="s">
        <v>4979</v>
      </c>
      <c r="R364" s="93">
        <v>1000000</v>
      </c>
      <c r="T364" s="19" t="s">
        <v>5535</v>
      </c>
      <c r="U364" s="19">
        <v>2847</v>
      </c>
      <c r="V364" s="115">
        <v>2556.3841000000002</v>
      </c>
      <c r="W364" s="115">
        <f t="shared" si="95"/>
        <v>7278025.5327000003</v>
      </c>
      <c r="X364" s="261" t="s">
        <v>5106</v>
      </c>
      <c r="AH364" s="147">
        <v>73</v>
      </c>
      <c r="AI364" s="147" t="s">
        <v>4934</v>
      </c>
      <c r="AJ364" s="186">
        <v>206000</v>
      </c>
      <c r="AK364" s="147">
        <v>2</v>
      </c>
      <c r="AL364" s="147">
        <f t="shared" si="93"/>
        <v>654</v>
      </c>
      <c r="AM364" s="147">
        <f t="shared" si="94"/>
        <v>134724000</v>
      </c>
      <c r="AN364" s="147"/>
    </row>
    <row r="365" spans="17:45">
      <c r="Q365" s="97" t="s">
        <v>4986</v>
      </c>
      <c r="R365" s="93">
        <v>400000</v>
      </c>
      <c r="T365" s="19" t="s">
        <v>5535</v>
      </c>
      <c r="U365" s="19">
        <v>1222</v>
      </c>
      <c r="V365" s="115">
        <v>2556.3841000000002</v>
      </c>
      <c r="W365" s="115">
        <f t="shared" si="95"/>
        <v>3123901.3702000002</v>
      </c>
      <c r="X365" s="261" t="s">
        <v>5536</v>
      </c>
      <c r="AH365" s="20">
        <v>74</v>
      </c>
      <c r="AI365" s="20" t="s">
        <v>4941</v>
      </c>
      <c r="AJ365" s="115">
        <v>50000</v>
      </c>
      <c r="AK365" s="20">
        <v>0</v>
      </c>
      <c r="AL365" s="20">
        <f t="shared" si="93"/>
        <v>652</v>
      </c>
      <c r="AM365" s="20">
        <f t="shared" si="94"/>
        <v>32600000</v>
      </c>
      <c r="AN365" s="20"/>
    </row>
    <row r="366" spans="17:45">
      <c r="Q366" s="97" t="s">
        <v>5000</v>
      </c>
      <c r="R366" s="93">
        <v>120000</v>
      </c>
      <c r="T366" s="19" t="s">
        <v>5544</v>
      </c>
      <c r="U366" s="19">
        <v>73</v>
      </c>
      <c r="V366" s="115">
        <v>2672.0459999999998</v>
      </c>
      <c r="W366" s="115">
        <f t="shared" si="95"/>
        <v>195059.35799999998</v>
      </c>
      <c r="X366" s="261" t="s">
        <v>5106</v>
      </c>
      <c r="AH366" s="240">
        <v>75</v>
      </c>
      <c r="AI366" s="240" t="s">
        <v>4941</v>
      </c>
      <c r="AJ366" s="231">
        <v>50000</v>
      </c>
      <c r="AK366" s="240">
        <v>2</v>
      </c>
      <c r="AL366" s="240">
        <f t="shared" si="93"/>
        <v>652</v>
      </c>
      <c r="AM366" s="240">
        <f t="shared" si="94"/>
        <v>32600000</v>
      </c>
      <c r="AN366" s="240"/>
    </row>
    <row r="367" spans="17:45" ht="30">
      <c r="Q367" s="97" t="s">
        <v>4991</v>
      </c>
      <c r="R367" s="93">
        <v>500000</v>
      </c>
      <c r="T367" s="19" t="s">
        <v>5549</v>
      </c>
      <c r="U367" s="19">
        <v>332</v>
      </c>
      <c r="V367" s="115">
        <v>2598.1260000000002</v>
      </c>
      <c r="W367" s="115">
        <f t="shared" si="95"/>
        <v>862577.83200000005</v>
      </c>
      <c r="X367" s="261" t="s">
        <v>5550</v>
      </c>
      <c r="Y367" t="s">
        <v>25</v>
      </c>
      <c r="Z367" t="s">
        <v>25</v>
      </c>
      <c r="AH367" s="20">
        <v>76</v>
      </c>
      <c r="AI367" s="20" t="s">
        <v>4945</v>
      </c>
      <c r="AJ367" s="115">
        <v>20000000</v>
      </c>
      <c r="AK367" s="20">
        <v>7</v>
      </c>
      <c r="AL367" s="20">
        <f t="shared" si="93"/>
        <v>650</v>
      </c>
      <c r="AM367" s="20">
        <f t="shared" si="94"/>
        <v>13000000000</v>
      </c>
      <c r="AN367" s="20" t="s">
        <v>4946</v>
      </c>
    </row>
    <row r="368" spans="17:45">
      <c r="Q368" s="97" t="s">
        <v>5016</v>
      </c>
      <c r="R368" s="93">
        <v>744000</v>
      </c>
      <c r="T368" s="19" t="s">
        <v>5551</v>
      </c>
      <c r="U368" s="19">
        <v>346</v>
      </c>
      <c r="V368" s="115">
        <v>2659.8510000000001</v>
      </c>
      <c r="W368" s="115">
        <f t="shared" si="95"/>
        <v>920308.446</v>
      </c>
      <c r="X368" s="261" t="s">
        <v>5106</v>
      </c>
      <c r="AH368" s="20">
        <v>77</v>
      </c>
      <c r="AI368" s="20" t="s">
        <v>4956</v>
      </c>
      <c r="AJ368" s="115">
        <v>50000</v>
      </c>
      <c r="AK368" s="20">
        <v>0</v>
      </c>
      <c r="AL368" s="20">
        <f t="shared" si="93"/>
        <v>643</v>
      </c>
      <c r="AM368" s="20">
        <f t="shared" si="94"/>
        <v>32150000</v>
      </c>
      <c r="AN368" s="20"/>
    </row>
    <row r="369" spans="17:45">
      <c r="Q369" s="97" t="s">
        <v>5021</v>
      </c>
      <c r="R369" s="93">
        <v>65000</v>
      </c>
      <c r="T369" s="19" t="s">
        <v>5552</v>
      </c>
      <c r="U369" s="19">
        <v>1722</v>
      </c>
      <c r="V369" s="115">
        <v>2692.1079220000001</v>
      </c>
      <c r="W369" s="115">
        <f t="shared" si="95"/>
        <v>4635809.8416840006</v>
      </c>
      <c r="X369" s="261" t="s">
        <v>5106</v>
      </c>
      <c r="Y369" t="s">
        <v>25</v>
      </c>
      <c r="AH369" s="147">
        <v>78</v>
      </c>
      <c r="AI369" s="147" t="s">
        <v>4956</v>
      </c>
      <c r="AJ369" s="186">
        <v>50000</v>
      </c>
      <c r="AK369" s="147">
        <v>7</v>
      </c>
      <c r="AL369" s="147">
        <f t="shared" si="93"/>
        <v>643</v>
      </c>
      <c r="AM369" s="147">
        <f t="shared" si="94"/>
        <v>32150000</v>
      </c>
      <c r="AN369" s="147"/>
    </row>
    <row r="370" spans="17:45">
      <c r="Q370" s="97" t="s">
        <v>4992</v>
      </c>
      <c r="R370" s="93">
        <v>-14053702</v>
      </c>
      <c r="T370" s="19" t="s">
        <v>5554</v>
      </c>
      <c r="U370" s="19">
        <v>106</v>
      </c>
      <c r="V370" s="115">
        <v>2725.4</v>
      </c>
      <c r="W370" s="115">
        <f t="shared" si="95"/>
        <v>288892.40000000002</v>
      </c>
      <c r="X370" s="261" t="s">
        <v>452</v>
      </c>
      <c r="Y370" t="s">
        <v>25</v>
      </c>
      <c r="Z370" t="s">
        <v>25</v>
      </c>
      <c r="AH370" s="20">
        <v>79</v>
      </c>
      <c r="AI370" s="20" t="s">
        <v>4962</v>
      </c>
      <c r="AJ370" s="115">
        <v>2480000</v>
      </c>
      <c r="AK370" s="20">
        <v>0</v>
      </c>
      <c r="AL370" s="20">
        <f t="shared" si="93"/>
        <v>636</v>
      </c>
      <c r="AM370" s="20">
        <f t="shared" si="94"/>
        <v>1577280000</v>
      </c>
      <c r="AN370" s="20"/>
    </row>
    <row r="371" spans="17:45">
      <c r="Q371" s="97" t="s">
        <v>5057</v>
      </c>
      <c r="R371" s="93">
        <v>3555678</v>
      </c>
      <c r="T371" s="19" t="s">
        <v>5582</v>
      </c>
      <c r="U371" s="19">
        <v>25901</v>
      </c>
      <c r="V371" s="115">
        <v>2258.9090000000001</v>
      </c>
      <c r="W371" s="115">
        <f t="shared" si="95"/>
        <v>58508002.009000003</v>
      </c>
      <c r="X371" s="261" t="s">
        <v>5106</v>
      </c>
      <c r="AH371" s="147">
        <v>80</v>
      </c>
      <c r="AI371" s="147" t="s">
        <v>4962</v>
      </c>
      <c r="AJ371" s="186">
        <v>2480000</v>
      </c>
      <c r="AK371" s="147">
        <v>12</v>
      </c>
      <c r="AL371" s="147">
        <f t="shared" si="93"/>
        <v>636</v>
      </c>
      <c r="AM371" s="147">
        <f t="shared" si="94"/>
        <v>1577280000</v>
      </c>
      <c r="AN371" s="147"/>
    </row>
    <row r="372" spans="17:45">
      <c r="Q372" s="97" t="s">
        <v>5061</v>
      </c>
      <c r="R372" s="93">
        <v>3495</v>
      </c>
      <c r="T372" s="19" t="s">
        <v>5584</v>
      </c>
      <c r="U372" s="19">
        <v>951</v>
      </c>
      <c r="V372" s="115">
        <v>2361.2150799999999</v>
      </c>
      <c r="W372" s="115">
        <f t="shared" si="95"/>
        <v>2245515.5410799999</v>
      </c>
      <c r="X372" s="261" t="s">
        <v>5106</v>
      </c>
      <c r="AH372" s="20">
        <v>81</v>
      </c>
      <c r="AI372" s="20" t="s">
        <v>4969</v>
      </c>
      <c r="AJ372" s="115">
        <v>-24159500</v>
      </c>
      <c r="AK372" s="20">
        <v>4</v>
      </c>
      <c r="AL372" s="20">
        <f t="shared" si="93"/>
        <v>624</v>
      </c>
      <c r="AM372" s="20">
        <f t="shared" si="94"/>
        <v>-15075528000</v>
      </c>
      <c r="AN372" s="20" t="s">
        <v>4977</v>
      </c>
      <c r="AR372" t="s">
        <v>25</v>
      </c>
    </row>
    <row r="373" spans="17:45">
      <c r="Q373" s="97" t="s">
        <v>5063</v>
      </c>
      <c r="R373" s="93">
        <v>6000000</v>
      </c>
      <c r="T373" s="19" t="s">
        <v>5586</v>
      </c>
      <c r="U373" s="19">
        <v>7622</v>
      </c>
      <c r="V373" s="115">
        <v>2414.6810999999998</v>
      </c>
      <c r="W373" s="115">
        <f t="shared" si="95"/>
        <v>18404699.3442</v>
      </c>
      <c r="X373" s="261" t="s">
        <v>5106</v>
      </c>
      <c r="AB373" t="s">
        <v>25</v>
      </c>
      <c r="AH373" s="20">
        <v>82</v>
      </c>
      <c r="AI373" s="20" t="s">
        <v>4979</v>
      </c>
      <c r="AJ373" s="115">
        <v>400000</v>
      </c>
      <c r="AK373" s="20">
        <v>3</v>
      </c>
      <c r="AL373" s="20">
        <f t="shared" si="93"/>
        <v>620</v>
      </c>
      <c r="AM373" s="20">
        <f t="shared" si="94"/>
        <v>248000000</v>
      </c>
      <c r="AN373" s="20"/>
    </row>
    <row r="374" spans="17:45">
      <c r="Q374" s="97" t="s">
        <v>5064</v>
      </c>
      <c r="R374" s="93">
        <v>17220</v>
      </c>
      <c r="T374" s="19" t="s">
        <v>5586</v>
      </c>
      <c r="U374" s="19">
        <v>-282</v>
      </c>
      <c r="V374" s="115">
        <v>2414.6810999999998</v>
      </c>
      <c r="W374" s="115">
        <f t="shared" si="95"/>
        <v>-680940.07019999996</v>
      </c>
      <c r="X374" s="261" t="s">
        <v>5587</v>
      </c>
      <c r="AH374" s="147">
        <v>83</v>
      </c>
      <c r="AI374" s="147" t="s">
        <v>4986</v>
      </c>
      <c r="AJ374" s="186">
        <v>40000</v>
      </c>
      <c r="AK374" s="147">
        <v>0</v>
      </c>
      <c r="AL374" s="147">
        <f t="shared" si="93"/>
        <v>617</v>
      </c>
      <c r="AM374" s="147">
        <f t="shared" si="94"/>
        <v>24680000</v>
      </c>
      <c r="AN374" s="147"/>
      <c r="AS374" t="s">
        <v>25</v>
      </c>
    </row>
    <row r="375" spans="17:45">
      <c r="Q375" s="97" t="s">
        <v>5066</v>
      </c>
      <c r="R375" s="93">
        <v>8249</v>
      </c>
      <c r="T375" s="19" t="s">
        <v>5586</v>
      </c>
      <c r="U375" s="19">
        <v>20162</v>
      </c>
      <c r="V375" s="115">
        <v>2414.6810999999998</v>
      </c>
      <c r="W375" s="115">
        <f t="shared" si="95"/>
        <v>48684800.338199995</v>
      </c>
      <c r="X375" s="261" t="s">
        <v>5588</v>
      </c>
      <c r="AH375" s="20">
        <v>84</v>
      </c>
      <c r="AI375" s="20" t="s">
        <v>4986</v>
      </c>
      <c r="AJ375" s="115">
        <v>40000</v>
      </c>
      <c r="AK375" s="20">
        <v>5</v>
      </c>
      <c r="AL375" s="20">
        <f t="shared" si="93"/>
        <v>617</v>
      </c>
      <c r="AM375" s="20">
        <f t="shared" si="94"/>
        <v>24680000</v>
      </c>
      <c r="AN375" s="20"/>
    </row>
    <row r="376" spans="17:45">
      <c r="Q376" s="97" t="s">
        <v>5066</v>
      </c>
      <c r="R376" s="93">
        <v>6937</v>
      </c>
      <c r="T376" s="19" t="s">
        <v>5586</v>
      </c>
      <c r="U376" s="19">
        <v>-20162</v>
      </c>
      <c r="V376" s="115">
        <v>2414.6810999999998</v>
      </c>
      <c r="W376" s="115">
        <f t="shared" si="95"/>
        <v>-48684800.338199995</v>
      </c>
      <c r="X376" s="261" t="s">
        <v>743</v>
      </c>
      <c r="AH376" s="20">
        <v>85</v>
      </c>
      <c r="AI376" s="20" t="s">
        <v>4994</v>
      </c>
      <c r="AJ376" s="115">
        <v>200000</v>
      </c>
      <c r="AK376" s="20">
        <v>1</v>
      </c>
      <c r="AL376" s="20">
        <f t="shared" si="93"/>
        <v>612</v>
      </c>
      <c r="AM376" s="20">
        <f t="shared" si="94"/>
        <v>122400000</v>
      </c>
      <c r="AN376" s="20"/>
    </row>
    <row r="377" spans="17:45">
      <c r="Q377" s="97" t="s">
        <v>5069</v>
      </c>
      <c r="R377" s="93">
        <v>4046552</v>
      </c>
      <c r="T377" s="19" t="s">
        <v>5589</v>
      </c>
      <c r="U377" s="19">
        <v>977</v>
      </c>
      <c r="V377" s="115">
        <v>2317.971947</v>
      </c>
      <c r="W377" s="115">
        <f t="shared" si="95"/>
        <v>2264658.5922190002</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5076</v>
      </c>
      <c r="R378" s="93">
        <v>-3884943</v>
      </c>
      <c r="S378" t="s">
        <v>25</v>
      </c>
      <c r="T378" s="19" t="s">
        <v>5591</v>
      </c>
      <c r="U378" s="19">
        <v>10280</v>
      </c>
      <c r="V378" s="115">
        <v>2225.429357</v>
      </c>
      <c r="W378" s="115">
        <f t="shared" si="95"/>
        <v>22877413.789960001</v>
      </c>
      <c r="X378" s="261" t="s">
        <v>5106</v>
      </c>
      <c r="AH378" s="20">
        <v>87</v>
      </c>
      <c r="AI378" s="20" t="s">
        <v>5000</v>
      </c>
      <c r="AJ378" s="115">
        <v>500000</v>
      </c>
      <c r="AK378" s="20">
        <v>3</v>
      </c>
      <c r="AL378" s="20">
        <f t="shared" si="96"/>
        <v>609</v>
      </c>
      <c r="AM378" s="20">
        <f t="shared" si="97"/>
        <v>304500000</v>
      </c>
      <c r="AN378" s="20"/>
    </row>
    <row r="379" spans="17:45">
      <c r="Q379" s="97" t="s">
        <v>5102</v>
      </c>
      <c r="R379" s="93">
        <v>6022</v>
      </c>
      <c r="T379" s="19" t="s">
        <v>5594</v>
      </c>
      <c r="U379" s="19">
        <v>1022</v>
      </c>
      <c r="V379" s="115">
        <v>2311.6824240000001</v>
      </c>
      <c r="W379" s="115">
        <f t="shared" si="95"/>
        <v>2362539.4373280001</v>
      </c>
      <c r="X379" s="261" t="s">
        <v>5106</v>
      </c>
      <c r="AH379" s="20">
        <v>88</v>
      </c>
      <c r="AI379" s="20" t="s">
        <v>4991</v>
      </c>
      <c r="AJ379" s="115">
        <v>250000</v>
      </c>
      <c r="AK379" s="20">
        <v>0</v>
      </c>
      <c r="AL379" s="20">
        <f t="shared" si="96"/>
        <v>606</v>
      </c>
      <c r="AM379" s="20">
        <f t="shared" si="97"/>
        <v>151500000</v>
      </c>
      <c r="AN379" s="20"/>
    </row>
    <row r="380" spans="17:45">
      <c r="Q380" s="97" t="s">
        <v>5105</v>
      </c>
      <c r="R380" s="93">
        <v>400000</v>
      </c>
      <c r="T380" s="19" t="s">
        <v>5595</v>
      </c>
      <c r="U380" s="19">
        <v>6818</v>
      </c>
      <c r="V380" s="115">
        <v>2352.988656</v>
      </c>
      <c r="W380" s="115">
        <f t="shared" si="95"/>
        <v>16042676.656608</v>
      </c>
      <c r="X380" s="261" t="s">
        <v>5106</v>
      </c>
      <c r="AH380" s="240">
        <v>89</v>
      </c>
      <c r="AI380" s="240" t="s">
        <v>4991</v>
      </c>
      <c r="AJ380" s="231">
        <v>245000</v>
      </c>
      <c r="AK380" s="240">
        <v>16</v>
      </c>
      <c r="AL380" s="240">
        <f t="shared" si="96"/>
        <v>606</v>
      </c>
      <c r="AM380" s="240">
        <f t="shared" si="97"/>
        <v>148470000</v>
      </c>
      <c r="AN380" s="240"/>
    </row>
    <row r="381" spans="17:45">
      <c r="Q381" s="97" t="s">
        <v>5105</v>
      </c>
      <c r="R381" s="93">
        <v>92847</v>
      </c>
      <c r="T381" s="19" t="s">
        <v>5596</v>
      </c>
      <c r="U381" s="19">
        <v>8023</v>
      </c>
      <c r="V381" s="115">
        <v>2293.8167079999998</v>
      </c>
      <c r="W381" s="115">
        <f t="shared" si="95"/>
        <v>18403291.448284</v>
      </c>
      <c r="X381" s="261" t="s">
        <v>5106</v>
      </c>
      <c r="AH381" s="20">
        <v>90</v>
      </c>
      <c r="AI381" s="20" t="s">
        <v>5025</v>
      </c>
      <c r="AJ381" s="115">
        <v>312598</v>
      </c>
      <c r="AK381" s="20">
        <v>0</v>
      </c>
      <c r="AL381" s="20">
        <f t="shared" si="96"/>
        <v>590</v>
      </c>
      <c r="AM381" s="20">
        <f t="shared" si="97"/>
        <v>184432820</v>
      </c>
      <c r="AN381" s="20"/>
      <c r="AP381" t="s">
        <v>25</v>
      </c>
    </row>
    <row r="382" spans="17:45">
      <c r="Q382" s="97" t="s">
        <v>5109</v>
      </c>
      <c r="R382" s="93">
        <v>-100000</v>
      </c>
      <c r="T382" s="19" t="s">
        <v>5599</v>
      </c>
      <c r="U382" s="19">
        <v>4666</v>
      </c>
      <c r="V382" s="115">
        <v>2263.4906230000001</v>
      </c>
      <c r="W382" s="115">
        <f t="shared" si="95"/>
        <v>10561447.246918</v>
      </c>
      <c r="X382" s="261" t="s">
        <v>5106</v>
      </c>
      <c r="AH382" s="20">
        <v>91</v>
      </c>
      <c r="AI382" s="20" t="s">
        <v>5025</v>
      </c>
      <c r="AJ382" s="115">
        <v>780000</v>
      </c>
      <c r="AK382" s="20">
        <v>0</v>
      </c>
      <c r="AL382" s="20">
        <f t="shared" si="96"/>
        <v>590</v>
      </c>
      <c r="AM382" s="20">
        <f t="shared" si="97"/>
        <v>460200000</v>
      </c>
      <c r="AN382" s="20"/>
    </row>
    <row r="383" spans="17:45">
      <c r="Q383" s="97" t="s">
        <v>5114</v>
      </c>
      <c r="R383" s="93">
        <v>10000000</v>
      </c>
      <c r="T383" s="19" t="s">
        <v>5600</v>
      </c>
      <c r="U383" s="19">
        <v>542</v>
      </c>
      <c r="V383" s="115">
        <v>2263.4906230000001</v>
      </c>
      <c r="W383" s="115">
        <f t="shared" si="95"/>
        <v>1226811.9176660001</v>
      </c>
      <c r="X383" s="261" t="s">
        <v>5106</v>
      </c>
      <c r="AH383" s="192">
        <v>92</v>
      </c>
      <c r="AI383" s="192" t="s">
        <v>5025</v>
      </c>
      <c r="AJ383" s="193">
        <v>-300000</v>
      </c>
      <c r="AK383" s="192">
        <v>1</v>
      </c>
      <c r="AL383" s="192">
        <f t="shared" si="96"/>
        <v>590</v>
      </c>
      <c r="AM383" s="192">
        <f t="shared" si="97"/>
        <v>-177000000</v>
      </c>
      <c r="AN383" s="192"/>
    </row>
    <row r="384" spans="17:45">
      <c r="Q384" s="97" t="s">
        <v>5118</v>
      </c>
      <c r="R384" s="93">
        <v>-400000</v>
      </c>
      <c r="T384" s="19" t="s">
        <v>5601</v>
      </c>
      <c r="U384" s="19">
        <v>16629</v>
      </c>
      <c r="V384" s="115">
        <v>2367.7887540000002</v>
      </c>
      <c r="W384" s="115">
        <f t="shared" si="95"/>
        <v>39373959.190266006</v>
      </c>
      <c r="X384" s="261" t="s">
        <v>5106</v>
      </c>
      <c r="AH384" s="20">
        <v>93</v>
      </c>
      <c r="AI384" s="20" t="s">
        <v>4992</v>
      </c>
      <c r="AJ384" s="115">
        <v>300000</v>
      </c>
      <c r="AK384" s="20">
        <v>0</v>
      </c>
      <c r="AL384" s="20">
        <f t="shared" si="96"/>
        <v>589</v>
      </c>
      <c r="AM384" s="20">
        <f t="shared" si="97"/>
        <v>176700000</v>
      </c>
      <c r="AN384" s="20"/>
    </row>
    <row r="385" spans="16:45">
      <c r="Q385" s="97" t="s">
        <v>5120</v>
      </c>
      <c r="R385" s="93">
        <v>5649</v>
      </c>
      <c r="T385" s="19" t="s">
        <v>5606</v>
      </c>
      <c r="U385" s="19">
        <v>11765</v>
      </c>
      <c r="V385" s="115">
        <v>2354.7375320000001</v>
      </c>
      <c r="W385" s="115">
        <f t="shared" si="95"/>
        <v>27703487.063980002</v>
      </c>
      <c r="X385" s="261" t="s">
        <v>5106</v>
      </c>
      <c r="AH385" s="20">
        <v>94</v>
      </c>
      <c r="AI385" s="20" t="s">
        <v>4992</v>
      </c>
      <c r="AJ385" s="115">
        <v>8660000</v>
      </c>
      <c r="AK385" s="20">
        <v>8</v>
      </c>
      <c r="AL385" s="20">
        <f t="shared" si="96"/>
        <v>589</v>
      </c>
      <c r="AM385" s="20">
        <f t="shared" si="97"/>
        <v>5100740000</v>
      </c>
      <c r="AN385" s="20"/>
    </row>
    <row r="386" spans="16:45">
      <c r="Q386" s="97" t="s">
        <v>5121</v>
      </c>
      <c r="R386" s="93">
        <v>460000</v>
      </c>
      <c r="T386" s="19" t="s">
        <v>5607</v>
      </c>
      <c r="U386" s="19">
        <v>3672</v>
      </c>
      <c r="V386" s="115">
        <v>2379.873826</v>
      </c>
      <c r="W386" s="115">
        <f t="shared" si="95"/>
        <v>8738896.6890719999</v>
      </c>
      <c r="X386" s="261" t="s">
        <v>5106</v>
      </c>
      <c r="Z386" t="s">
        <v>25</v>
      </c>
      <c r="AH386" s="147">
        <v>95</v>
      </c>
      <c r="AI386" s="147" t="s">
        <v>5042</v>
      </c>
      <c r="AJ386" s="186">
        <v>200000</v>
      </c>
      <c r="AK386" s="147">
        <v>3</v>
      </c>
      <c r="AL386" s="147">
        <f t="shared" si="96"/>
        <v>581</v>
      </c>
      <c r="AM386" s="147">
        <f t="shared" si="97"/>
        <v>116200000</v>
      </c>
      <c r="AN386" s="147"/>
      <c r="AQ386" t="s">
        <v>25</v>
      </c>
    </row>
    <row r="387" spans="16:45">
      <c r="Q387" s="97" t="s">
        <v>5121</v>
      </c>
      <c r="R387" s="93">
        <v>1300000</v>
      </c>
      <c r="T387" s="19" t="s">
        <v>4183</v>
      </c>
      <c r="U387" s="19">
        <v>140</v>
      </c>
      <c r="V387" s="115">
        <v>2487.154767</v>
      </c>
      <c r="W387" s="115">
        <f t="shared" si="95"/>
        <v>348201.66738</v>
      </c>
      <c r="X387" s="261" t="s">
        <v>5106</v>
      </c>
      <c r="AF387" s="94" t="s">
        <v>25</v>
      </c>
      <c r="AH387" s="147">
        <v>96</v>
      </c>
      <c r="AI387" s="147" t="s">
        <v>5045</v>
      </c>
      <c r="AJ387" s="186">
        <v>20000</v>
      </c>
      <c r="AK387" s="147">
        <v>1</v>
      </c>
      <c r="AL387" s="147">
        <f t="shared" si="96"/>
        <v>578</v>
      </c>
      <c r="AM387" s="147">
        <f t="shared" si="97"/>
        <v>11560000</v>
      </c>
      <c r="AN387" s="147"/>
    </row>
    <row r="388" spans="16:45">
      <c r="Q388" s="97" t="s">
        <v>975</v>
      </c>
      <c r="R388" s="93">
        <v>7300000</v>
      </c>
      <c r="T388" s="19" t="s">
        <v>5609</v>
      </c>
      <c r="U388" s="19">
        <v>1616</v>
      </c>
      <c r="V388" s="115">
        <v>2573.0760479999999</v>
      </c>
      <c r="W388" s="115">
        <f t="shared" si="95"/>
        <v>4158090.8935679998</v>
      </c>
      <c r="X388" s="261" t="s">
        <v>5106</v>
      </c>
      <c r="AH388" s="20">
        <v>97</v>
      </c>
      <c r="AI388" s="20" t="s">
        <v>5055</v>
      </c>
      <c r="AJ388" s="115">
        <v>14340000</v>
      </c>
      <c r="AK388" s="20">
        <v>7</v>
      </c>
      <c r="AL388" s="20">
        <f t="shared" si="96"/>
        <v>577</v>
      </c>
      <c r="AM388" s="20">
        <f t="shared" si="97"/>
        <v>8274180000</v>
      </c>
      <c r="AN388" s="20"/>
      <c r="AS388" t="s">
        <v>25</v>
      </c>
    </row>
    <row r="389" spans="16:45">
      <c r="Q389" s="97" t="s">
        <v>4254</v>
      </c>
      <c r="R389" s="93">
        <v>21203</v>
      </c>
      <c r="T389" s="187" t="s">
        <v>5610</v>
      </c>
      <c r="U389" s="187">
        <v>5682</v>
      </c>
      <c r="V389" s="186">
        <v>2639.970566</v>
      </c>
      <c r="W389" s="186">
        <f t="shared" si="95"/>
        <v>15000312.756012</v>
      </c>
      <c r="X389" s="260" t="s">
        <v>5849</v>
      </c>
      <c r="AH389" s="20">
        <v>98</v>
      </c>
      <c r="AI389" s="20" t="s">
        <v>5061</v>
      </c>
      <c r="AJ389" s="115">
        <v>10000000</v>
      </c>
      <c r="AK389" s="20">
        <v>6</v>
      </c>
      <c r="AL389" s="20">
        <f t="shared" si="96"/>
        <v>570</v>
      </c>
      <c r="AM389" s="20">
        <f t="shared" si="97"/>
        <v>5700000000</v>
      </c>
      <c r="AN389" s="20" t="s">
        <v>4676</v>
      </c>
    </row>
    <row r="390" spans="16:45" ht="30">
      <c r="P390" t="s">
        <v>25</v>
      </c>
      <c r="Q390" s="97" t="s">
        <v>5119</v>
      </c>
      <c r="R390" s="93">
        <v>34550</v>
      </c>
      <c r="T390" s="187" t="s">
        <v>5610</v>
      </c>
      <c r="U390" s="187">
        <v>-122</v>
      </c>
      <c r="V390" s="186">
        <v>2639.970566</v>
      </c>
      <c r="W390" s="186">
        <f t="shared" si="95"/>
        <v>-322076.40905199997</v>
      </c>
      <c r="X390" s="260" t="s">
        <v>5886</v>
      </c>
      <c r="Y390" t="s">
        <v>25</v>
      </c>
      <c r="AH390" s="20">
        <v>99</v>
      </c>
      <c r="AI390" s="20" t="s">
        <v>5066</v>
      </c>
      <c r="AJ390" s="115">
        <v>4033949</v>
      </c>
      <c r="AK390" s="20">
        <v>2</v>
      </c>
      <c r="AL390" s="20">
        <f t="shared" si="96"/>
        <v>564</v>
      </c>
      <c r="AM390" s="20">
        <f t="shared" si="97"/>
        <v>2275147236</v>
      </c>
      <c r="AN390" s="20" t="s">
        <v>5068</v>
      </c>
    </row>
    <row r="391" spans="16:45">
      <c r="Q391" s="97" t="s">
        <v>5156</v>
      </c>
      <c r="R391" s="93">
        <v>-2134406</v>
      </c>
      <c r="T391" s="19" t="s">
        <v>5610</v>
      </c>
      <c r="U391" s="19">
        <v>2272</v>
      </c>
      <c r="V391" s="115">
        <v>2639.970566</v>
      </c>
      <c r="W391" s="115">
        <f t="shared" si="95"/>
        <v>5998013.1259519998</v>
      </c>
      <c r="X391" s="261" t="s">
        <v>5619</v>
      </c>
      <c r="AH391" s="147">
        <v>100</v>
      </c>
      <c r="AI391" s="147" t="s">
        <v>5072</v>
      </c>
      <c r="AJ391" s="186">
        <v>11500000</v>
      </c>
      <c r="AK391" s="147">
        <v>2</v>
      </c>
      <c r="AL391" s="147">
        <f t="shared" si="96"/>
        <v>562</v>
      </c>
      <c r="AM391" s="147">
        <f t="shared" si="97"/>
        <v>6463000000</v>
      </c>
      <c r="AN391" s="147" t="s">
        <v>5074</v>
      </c>
    </row>
    <row r="392" spans="16:45" ht="30">
      <c r="Q392" s="97" t="s">
        <v>5159</v>
      </c>
      <c r="R392" s="93">
        <v>-618906</v>
      </c>
      <c r="T392" s="19" t="s">
        <v>5610</v>
      </c>
      <c r="U392" s="19">
        <v>4434</v>
      </c>
      <c r="V392" s="115">
        <v>2639.970566</v>
      </c>
      <c r="W392" s="115">
        <f t="shared" si="95"/>
        <v>11705629.489644</v>
      </c>
      <c r="X392" s="261" t="s">
        <v>5620</v>
      </c>
      <c r="AA392" t="s">
        <v>25</v>
      </c>
      <c r="AH392" s="147">
        <v>101</v>
      </c>
      <c r="AI392" s="147" t="s">
        <v>5076</v>
      </c>
      <c r="AJ392" s="186">
        <v>250000</v>
      </c>
      <c r="AK392" s="147">
        <v>3</v>
      </c>
      <c r="AL392" s="147">
        <f t="shared" si="96"/>
        <v>560</v>
      </c>
      <c r="AM392" s="147">
        <f t="shared" si="97"/>
        <v>140000000</v>
      </c>
      <c r="AN392" s="147"/>
    </row>
    <row r="393" spans="16:45">
      <c r="Q393" s="97" t="s">
        <v>5201</v>
      </c>
      <c r="R393" s="93">
        <v>-54615</v>
      </c>
      <c r="T393" s="19" t="s">
        <v>5610</v>
      </c>
      <c r="U393" s="19">
        <v>2349</v>
      </c>
      <c r="V393" s="115">
        <v>2639.970566</v>
      </c>
      <c r="W393" s="115">
        <f t="shared" si="95"/>
        <v>6201290.859534</v>
      </c>
      <c r="X393" s="261" t="s">
        <v>5621</v>
      </c>
      <c r="AH393" s="147">
        <v>102</v>
      </c>
      <c r="AI393" s="147" t="s">
        <v>5101</v>
      </c>
      <c r="AJ393" s="186">
        <v>6000000</v>
      </c>
      <c r="AK393" s="147">
        <v>1</v>
      </c>
      <c r="AL393" s="147">
        <f t="shared" si="96"/>
        <v>557</v>
      </c>
      <c r="AM393" s="147">
        <f t="shared" si="97"/>
        <v>3342000000</v>
      </c>
      <c r="AN393" s="147" t="s">
        <v>5074</v>
      </c>
      <c r="AR393" t="s">
        <v>25</v>
      </c>
    </row>
    <row r="394" spans="16:45" ht="30">
      <c r="Q394" s="97" t="s">
        <v>5246</v>
      </c>
      <c r="R394" s="93">
        <v>18000000</v>
      </c>
      <c r="T394" s="19" t="s">
        <v>5610</v>
      </c>
      <c r="U394" s="19">
        <v>-568</v>
      </c>
      <c r="V394" s="115">
        <v>2639.970566</v>
      </c>
      <c r="W394" s="115">
        <f t="shared" si="95"/>
        <v>-1499503.2814879999</v>
      </c>
      <c r="X394" s="261" t="s">
        <v>5622</v>
      </c>
      <c r="Y394" t="s">
        <v>25</v>
      </c>
      <c r="AH394" s="147">
        <v>103</v>
      </c>
      <c r="AI394" s="147" t="s">
        <v>5102</v>
      </c>
      <c r="AJ394" s="186">
        <v>1500000</v>
      </c>
      <c r="AK394" s="147">
        <v>6</v>
      </c>
      <c r="AL394" s="147">
        <f t="shared" si="96"/>
        <v>556</v>
      </c>
      <c r="AM394" s="147">
        <f t="shared" si="97"/>
        <v>834000000</v>
      </c>
      <c r="AN394" s="147" t="s">
        <v>5074</v>
      </c>
    </row>
    <row r="395" spans="16:45" ht="30">
      <c r="Q395" s="97" t="s">
        <v>5253</v>
      </c>
      <c r="R395" s="93">
        <v>20000000</v>
      </c>
      <c r="T395" s="19" t="s">
        <v>5610</v>
      </c>
      <c r="U395" s="19">
        <v>568</v>
      </c>
      <c r="V395" s="115">
        <v>2639.970566</v>
      </c>
      <c r="W395" s="115">
        <f t="shared" si="95"/>
        <v>1499503.2814879999</v>
      </c>
      <c r="X395" s="261" t="s">
        <v>5622</v>
      </c>
      <c r="AH395" s="20">
        <v>104</v>
      </c>
      <c r="AI395" s="20" t="s">
        <v>958</v>
      </c>
      <c r="AJ395" s="115">
        <v>-3960043</v>
      </c>
      <c r="AK395" s="20">
        <v>2</v>
      </c>
      <c r="AL395" s="20">
        <f t="shared" si="96"/>
        <v>550</v>
      </c>
      <c r="AM395" s="20">
        <f t="shared" si="97"/>
        <v>-2178023650</v>
      </c>
      <c r="AN395" s="20"/>
    </row>
    <row r="396" spans="16:45">
      <c r="Q396" s="97" t="s">
        <v>5328</v>
      </c>
      <c r="R396" s="93">
        <v>27694196</v>
      </c>
      <c r="T396" s="19" t="s">
        <v>5613</v>
      </c>
      <c r="U396" s="19">
        <v>4589</v>
      </c>
      <c r="V396" s="115">
        <v>2639.970566</v>
      </c>
      <c r="W396" s="115">
        <f t="shared" si="95"/>
        <v>12114824.927374</v>
      </c>
      <c r="X396" s="261" t="s">
        <v>5623</v>
      </c>
      <c r="Y396" t="s">
        <v>25</v>
      </c>
      <c r="AH396" s="20">
        <v>105</v>
      </c>
      <c r="AI396" s="20" t="s">
        <v>5120</v>
      </c>
      <c r="AJ396" s="115">
        <v>230000</v>
      </c>
      <c r="AK396" s="20">
        <v>0</v>
      </c>
      <c r="AL396" s="20">
        <f t="shared" si="96"/>
        <v>548</v>
      </c>
      <c r="AM396" s="20">
        <f t="shared" si="97"/>
        <v>126040000</v>
      </c>
      <c r="AN396" s="20"/>
    </row>
    <row r="397" spans="16:45">
      <c r="Q397" s="97" t="s">
        <v>5329</v>
      </c>
      <c r="R397" s="93">
        <v>7211722</v>
      </c>
      <c r="T397" s="19" t="s">
        <v>5613</v>
      </c>
      <c r="U397" s="19">
        <v>41959</v>
      </c>
      <c r="V397" s="115">
        <v>2639.970566</v>
      </c>
      <c r="W397" s="115">
        <f t="shared" ref="W397:W522" si="98">U397*V397</f>
        <v>110770524.97879399</v>
      </c>
      <c r="X397" s="261" t="s">
        <v>5106</v>
      </c>
      <c r="AH397" s="147">
        <v>106</v>
      </c>
      <c r="AI397" s="147" t="s">
        <v>5120</v>
      </c>
      <c r="AJ397" s="186">
        <v>230000</v>
      </c>
      <c r="AK397" s="147">
        <v>1</v>
      </c>
      <c r="AL397" s="147">
        <f t="shared" si="96"/>
        <v>548</v>
      </c>
      <c r="AM397" s="147">
        <f t="shared" si="97"/>
        <v>126040000</v>
      </c>
      <c r="AN397" s="147"/>
    </row>
    <row r="398" spans="16:45" ht="21" customHeight="1">
      <c r="Q398" s="97" t="s">
        <v>5333</v>
      </c>
      <c r="R398" s="93">
        <v>8481864</v>
      </c>
      <c r="T398" s="19" t="s">
        <v>5625</v>
      </c>
      <c r="U398" s="19">
        <v>2486</v>
      </c>
      <c r="V398" s="115">
        <v>2688.7156100000002</v>
      </c>
      <c r="W398" s="115">
        <f t="shared" si="98"/>
        <v>6684147.0064600008</v>
      </c>
      <c r="X398" s="261" t="s">
        <v>5106</v>
      </c>
      <c r="AH398" s="147">
        <v>107</v>
      </c>
      <c r="AI398" s="147" t="s">
        <v>5121</v>
      </c>
      <c r="AJ398" s="186">
        <v>500000</v>
      </c>
      <c r="AK398" s="147">
        <v>1</v>
      </c>
      <c r="AL398" s="147">
        <f t="shared" si="96"/>
        <v>547</v>
      </c>
      <c r="AM398" s="147">
        <f t="shared" si="97"/>
        <v>273500000</v>
      </c>
      <c r="AN398" s="147"/>
    </row>
    <row r="399" spans="16:45">
      <c r="Q399" s="97" t="s">
        <v>5337</v>
      </c>
      <c r="R399" s="93">
        <v>1558697</v>
      </c>
      <c r="T399" s="19" t="s">
        <v>5628</v>
      </c>
      <c r="U399" s="19">
        <v>652</v>
      </c>
      <c r="V399" s="115">
        <v>2801.4344030000002</v>
      </c>
      <c r="W399" s="115">
        <f t="shared" si="98"/>
        <v>1826535.2307560001</v>
      </c>
      <c r="X399" s="261" t="s">
        <v>5106</v>
      </c>
      <c r="AH399" s="20">
        <v>108</v>
      </c>
      <c r="AI399" s="20" t="s">
        <v>5124</v>
      </c>
      <c r="AJ399" s="115">
        <v>-880000</v>
      </c>
      <c r="AK399" s="20">
        <v>4</v>
      </c>
      <c r="AL399" s="20">
        <f t="shared" si="96"/>
        <v>546</v>
      </c>
      <c r="AM399" s="20">
        <f t="shared" si="97"/>
        <v>-480480000</v>
      </c>
      <c r="AN399" s="20"/>
    </row>
    <row r="400" spans="16:45" ht="18" customHeight="1">
      <c r="Q400" s="97" t="s">
        <v>5338</v>
      </c>
      <c r="R400" s="93">
        <v>9042009</v>
      </c>
      <c r="S400" t="s">
        <v>25</v>
      </c>
      <c r="T400" s="187" t="s">
        <v>5628</v>
      </c>
      <c r="U400" s="187">
        <v>-536</v>
      </c>
      <c r="V400" s="186">
        <v>2801.4344030000002</v>
      </c>
      <c r="W400" s="186">
        <f t="shared" si="98"/>
        <v>-1501568.8400080001</v>
      </c>
      <c r="X400" s="260" t="s">
        <v>5640</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94969</v>
      </c>
      <c r="T401" s="19" t="s">
        <v>5632</v>
      </c>
      <c r="U401" s="19">
        <v>1351</v>
      </c>
      <c r="V401" s="115">
        <v>2647.94</v>
      </c>
      <c r="W401" s="115">
        <f t="shared" si="98"/>
        <v>3577366.94</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5342</v>
      </c>
      <c r="R402" s="93">
        <v>40000000</v>
      </c>
      <c r="T402" s="19" t="s">
        <v>5634</v>
      </c>
      <c r="U402" s="19">
        <v>8402</v>
      </c>
      <c r="V402" s="115">
        <v>2527.8539839999999</v>
      </c>
      <c r="W402" s="115">
        <f t="shared" si="98"/>
        <v>21239029.173567999</v>
      </c>
      <c r="X402" s="261" t="s">
        <v>5106</v>
      </c>
      <c r="AH402" s="20">
        <v>111</v>
      </c>
      <c r="AI402" s="20" t="s">
        <v>5128</v>
      </c>
      <c r="AJ402" s="115">
        <v>73000</v>
      </c>
      <c r="AK402" s="20">
        <v>1</v>
      </c>
      <c r="AL402" s="20">
        <f t="shared" si="96"/>
        <v>542</v>
      </c>
      <c r="AM402" s="20">
        <f t="shared" si="97"/>
        <v>39566000</v>
      </c>
      <c r="AN402" s="20"/>
      <c r="AS402" t="s">
        <v>25</v>
      </c>
    </row>
    <row r="403" spans="17:45">
      <c r="Q403" s="97" t="s">
        <v>5343</v>
      </c>
      <c r="R403" s="93">
        <v>2806274</v>
      </c>
      <c r="T403" s="19" t="s">
        <v>5637</v>
      </c>
      <c r="U403" s="19">
        <v>98141</v>
      </c>
      <c r="V403" s="115">
        <v>2475.593813</v>
      </c>
      <c r="W403" s="115">
        <f t="shared" si="98"/>
        <v>242957252.40163299</v>
      </c>
      <c r="X403" s="261" t="s">
        <v>5106</v>
      </c>
      <c r="AH403" s="20">
        <v>112</v>
      </c>
      <c r="AI403" s="20" t="s">
        <v>975</v>
      </c>
      <c r="AJ403" s="115">
        <v>4300000</v>
      </c>
      <c r="AK403" s="20">
        <v>1</v>
      </c>
      <c r="AL403" s="20">
        <f t="shared" si="96"/>
        <v>541</v>
      </c>
      <c r="AM403" s="20">
        <f t="shared" si="97"/>
        <v>2326300000</v>
      </c>
      <c r="AN403" s="20"/>
    </row>
    <row r="404" spans="17:45">
      <c r="Q404" s="97" t="s">
        <v>5351</v>
      </c>
      <c r="R404" s="93">
        <v>1331702</v>
      </c>
      <c r="T404" s="19" t="s">
        <v>5641</v>
      </c>
      <c r="U404" s="19">
        <v>2910</v>
      </c>
      <c r="V404" s="115">
        <v>2528.240988</v>
      </c>
      <c r="W404" s="115">
        <f t="shared" si="98"/>
        <v>7357181.2750800001</v>
      </c>
      <c r="X404" s="261" t="s">
        <v>5106</v>
      </c>
      <c r="Z404" t="s">
        <v>25</v>
      </c>
      <c r="AH404" s="20">
        <v>113</v>
      </c>
      <c r="AI404" s="20" t="s">
        <v>5004</v>
      </c>
      <c r="AJ404" s="115">
        <v>1600000</v>
      </c>
      <c r="AK404" s="20">
        <v>0</v>
      </c>
      <c r="AL404" s="20">
        <f t="shared" si="96"/>
        <v>540</v>
      </c>
      <c r="AM404" s="20">
        <f t="shared" si="97"/>
        <v>864000000</v>
      </c>
      <c r="AN404" s="20"/>
    </row>
    <row r="405" spans="17:45">
      <c r="Q405" s="97" t="s">
        <v>5385</v>
      </c>
      <c r="R405" s="93">
        <v>851238</v>
      </c>
      <c r="T405" s="19" t="s">
        <v>5643</v>
      </c>
      <c r="U405" s="19">
        <v>5652</v>
      </c>
      <c r="V405" s="115">
        <v>2645.3312000000001</v>
      </c>
      <c r="W405" s="115">
        <f t="shared" si="98"/>
        <v>14951411.942400001</v>
      </c>
      <c r="X405" s="261" t="s">
        <v>5106</v>
      </c>
      <c r="AH405" s="20">
        <v>114</v>
      </c>
      <c r="AI405" s="20" t="s">
        <v>4254</v>
      </c>
      <c r="AJ405" s="115">
        <v>-10000000</v>
      </c>
      <c r="AK405" s="20">
        <v>1</v>
      </c>
      <c r="AL405" s="20">
        <f t="shared" si="96"/>
        <v>540</v>
      </c>
      <c r="AM405" s="20">
        <f t="shared" si="97"/>
        <v>-5400000000</v>
      </c>
      <c r="AN405" s="20" t="s">
        <v>5134</v>
      </c>
    </row>
    <row r="406" spans="17:45">
      <c r="Q406" s="97" t="s">
        <v>5429</v>
      </c>
      <c r="R406" s="93">
        <v>652592</v>
      </c>
      <c r="T406" s="19" t="s">
        <v>5647</v>
      </c>
      <c r="U406" s="19">
        <v>18764</v>
      </c>
      <c r="V406" s="115">
        <v>2554.2639829999998</v>
      </c>
      <c r="W406" s="115">
        <f t="shared" si="98"/>
        <v>47928209.377011999</v>
      </c>
      <c r="X406" s="261" t="s">
        <v>5106</v>
      </c>
      <c r="AH406" s="20">
        <v>115</v>
      </c>
      <c r="AI406" s="20" t="s">
        <v>5133</v>
      </c>
      <c r="AJ406" s="115">
        <v>571000</v>
      </c>
      <c r="AK406" s="20">
        <v>4</v>
      </c>
      <c r="AL406" s="20">
        <f t="shared" si="96"/>
        <v>539</v>
      </c>
      <c r="AM406" s="20">
        <f t="shared" si="97"/>
        <v>307769000</v>
      </c>
      <c r="AN406" s="20"/>
    </row>
    <row r="407" spans="17:45">
      <c r="Q407" s="97" t="s">
        <v>5430</v>
      </c>
      <c r="R407" s="93">
        <v>554139</v>
      </c>
      <c r="T407" s="19" t="s">
        <v>5649</v>
      </c>
      <c r="U407" s="19">
        <v>930</v>
      </c>
      <c r="V407" s="115">
        <v>2453.3287089999999</v>
      </c>
      <c r="W407" s="115">
        <f t="shared" si="98"/>
        <v>2281595.69937</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5431</v>
      </c>
      <c r="R408" s="93">
        <v>70373089</v>
      </c>
      <c r="T408" s="19" t="s">
        <v>5651</v>
      </c>
      <c r="U408" s="19">
        <v>1167</v>
      </c>
      <c r="V408" s="115">
        <v>2540.6307069999998</v>
      </c>
      <c r="W408" s="115">
        <f t="shared" si="98"/>
        <v>2964916.035069</v>
      </c>
      <c r="X408" s="261" t="s">
        <v>5106</v>
      </c>
      <c r="AH408" s="147">
        <v>117</v>
      </c>
      <c r="AI408" s="147" t="s">
        <v>5141</v>
      </c>
      <c r="AJ408" s="186">
        <v>50000</v>
      </c>
      <c r="AK408" s="147">
        <v>7</v>
      </c>
      <c r="AL408" s="147">
        <f t="shared" si="99"/>
        <v>532</v>
      </c>
      <c r="AM408" s="147">
        <f t="shared" si="100"/>
        <v>26600000</v>
      </c>
      <c r="AN408" s="147"/>
    </row>
    <row r="409" spans="17:45">
      <c r="Q409" s="97" t="s">
        <v>5432</v>
      </c>
      <c r="R409" s="93">
        <v>1219655</v>
      </c>
      <c r="T409" s="19" t="s">
        <v>5652</v>
      </c>
      <c r="U409" s="19">
        <v>2538</v>
      </c>
      <c r="V409" s="115">
        <v>2545.5277489999999</v>
      </c>
      <c r="W409" s="115">
        <f t="shared" si="98"/>
        <v>6460549.4269619994</v>
      </c>
      <c r="X409" s="261" t="s">
        <v>5106</v>
      </c>
      <c r="Z409" t="s">
        <v>25</v>
      </c>
      <c r="AA409" t="s">
        <v>25</v>
      </c>
      <c r="AH409" s="20">
        <v>118</v>
      </c>
      <c r="AI409" s="20" t="s">
        <v>5149</v>
      </c>
      <c r="AJ409" s="115">
        <v>-500000</v>
      </c>
      <c r="AK409" s="20">
        <v>12</v>
      </c>
      <c r="AL409" s="20">
        <f t="shared" si="99"/>
        <v>525</v>
      </c>
      <c r="AM409" s="20">
        <f t="shared" si="100"/>
        <v>-262500000</v>
      </c>
      <c r="AN409" s="20"/>
    </row>
    <row r="410" spans="17:45">
      <c r="Q410" s="97" t="s">
        <v>5433</v>
      </c>
      <c r="R410" s="93">
        <v>15350146</v>
      </c>
      <c r="T410" s="19" t="s">
        <v>5654</v>
      </c>
      <c r="U410" s="19">
        <v>2106</v>
      </c>
      <c r="V410" s="115">
        <v>2474.9857059999999</v>
      </c>
      <c r="W410" s="115">
        <f t="shared" si="98"/>
        <v>5212319.8968359996</v>
      </c>
      <c r="X410" s="261" t="s">
        <v>5106</v>
      </c>
      <c r="AA410" t="s">
        <v>25</v>
      </c>
      <c r="AH410" s="147">
        <v>119</v>
      </c>
      <c r="AI410" s="147" t="s">
        <v>974</v>
      </c>
      <c r="AJ410" s="186">
        <v>-50000</v>
      </c>
      <c r="AK410" s="147">
        <v>0</v>
      </c>
      <c r="AL410" s="147">
        <f t="shared" si="99"/>
        <v>513</v>
      </c>
      <c r="AM410" s="147">
        <f t="shared" si="100"/>
        <v>-25650000</v>
      </c>
      <c r="AN410" s="147"/>
    </row>
    <row r="411" spans="17:45">
      <c r="Q411" s="97" t="s">
        <v>5437</v>
      </c>
      <c r="R411" s="93">
        <v>121018</v>
      </c>
      <c r="T411" s="19" t="s">
        <v>5657</v>
      </c>
      <c r="U411" s="19">
        <v>1801</v>
      </c>
      <c r="V411" s="115">
        <v>2512.2134809999998</v>
      </c>
      <c r="W411" s="115">
        <f t="shared" si="98"/>
        <v>4524496.4792809999</v>
      </c>
      <c r="X411" s="261" t="s">
        <v>5106</v>
      </c>
      <c r="AH411" s="20">
        <v>120</v>
      </c>
      <c r="AI411" s="20" t="s">
        <v>974</v>
      </c>
      <c r="AJ411" s="115">
        <v>-50000</v>
      </c>
      <c r="AK411" s="20">
        <v>28</v>
      </c>
      <c r="AL411" s="20">
        <f t="shared" si="99"/>
        <v>513</v>
      </c>
      <c r="AM411" s="20">
        <f t="shared" si="100"/>
        <v>-25650000</v>
      </c>
      <c r="AN411" s="20"/>
    </row>
    <row r="412" spans="17:45">
      <c r="Q412" s="97" t="s">
        <v>5449</v>
      </c>
      <c r="R412" s="93">
        <v>1024993</v>
      </c>
      <c r="T412" s="19" t="s">
        <v>5659</v>
      </c>
      <c r="U412" s="19">
        <v>9184</v>
      </c>
      <c r="V412" s="115">
        <v>2489.76919</v>
      </c>
      <c r="W412" s="115">
        <f t="shared" si="98"/>
        <v>22866040.240959998</v>
      </c>
      <c r="X412" s="261" t="s">
        <v>5106</v>
      </c>
      <c r="AH412" s="20">
        <v>121</v>
      </c>
      <c r="AI412" s="20" t="s">
        <v>5190</v>
      </c>
      <c r="AJ412" s="115">
        <v>-3020625</v>
      </c>
      <c r="AK412" s="20">
        <v>18</v>
      </c>
      <c r="AL412" s="20">
        <f t="shared" si="99"/>
        <v>485</v>
      </c>
      <c r="AM412" s="20">
        <f t="shared" si="100"/>
        <v>-1465003125</v>
      </c>
      <c r="AN412" s="20"/>
    </row>
    <row r="413" spans="17:45">
      <c r="Q413" s="97" t="s">
        <v>5450</v>
      </c>
      <c r="R413" s="93">
        <v>1948077</v>
      </c>
      <c r="T413" s="19" t="s">
        <v>5661</v>
      </c>
      <c r="U413" s="19">
        <v>6259</v>
      </c>
      <c r="V413" s="115">
        <v>2453.954988</v>
      </c>
      <c r="W413" s="115">
        <f t="shared" si="98"/>
        <v>15359304.269892</v>
      </c>
      <c r="X413" s="261" t="s">
        <v>5106</v>
      </c>
      <c r="Y413" t="s">
        <v>25</v>
      </c>
      <c r="AH413" s="20">
        <v>122</v>
      </c>
      <c r="AI413" s="20" t="s">
        <v>5201</v>
      </c>
      <c r="AJ413" s="115">
        <v>18000000</v>
      </c>
      <c r="AK413" s="20">
        <v>19</v>
      </c>
      <c r="AL413" s="20">
        <f t="shared" si="99"/>
        <v>467</v>
      </c>
      <c r="AM413" s="20">
        <f t="shared" si="100"/>
        <v>8406000000</v>
      </c>
      <c r="AN413" s="20"/>
      <c r="AR413" t="s">
        <v>25</v>
      </c>
    </row>
    <row r="414" spans="17:45">
      <c r="Q414" s="97" t="s">
        <v>5451</v>
      </c>
      <c r="R414" s="93">
        <v>50000120</v>
      </c>
      <c r="T414" s="19" t="s">
        <v>5663</v>
      </c>
      <c r="U414" s="19">
        <v>1223</v>
      </c>
      <c r="V414" s="115">
        <v>2345.4686710000001</v>
      </c>
      <c r="W414" s="115">
        <f t="shared" si="98"/>
        <v>2868508.1846330003</v>
      </c>
      <c r="X414" s="261" t="s">
        <v>5106</v>
      </c>
      <c r="AH414" s="20">
        <v>123</v>
      </c>
      <c r="AI414" s="20" t="s">
        <v>5228</v>
      </c>
      <c r="AJ414" s="115">
        <v>2000000</v>
      </c>
      <c r="AK414" s="20">
        <v>6</v>
      </c>
      <c r="AL414" s="20">
        <f t="shared" si="99"/>
        <v>448</v>
      </c>
      <c r="AM414" s="20">
        <f t="shared" si="100"/>
        <v>896000000</v>
      </c>
      <c r="AN414" s="20"/>
    </row>
    <row r="415" spans="17:45">
      <c r="Q415" s="97" t="s">
        <v>5474</v>
      </c>
      <c r="R415" s="93">
        <v>20000055</v>
      </c>
      <c r="T415" s="19" t="s">
        <v>5664</v>
      </c>
      <c r="U415" s="19">
        <v>7804</v>
      </c>
      <c r="V415" s="115">
        <v>2236.0831640000001</v>
      </c>
      <c r="W415" s="115">
        <f t="shared" si="98"/>
        <v>17450393.011856001</v>
      </c>
      <c r="X415" s="261" t="s">
        <v>5106</v>
      </c>
      <c r="AH415" s="147">
        <v>124</v>
      </c>
      <c r="AI415" s="147" t="s">
        <v>5237</v>
      </c>
      <c r="AJ415" s="186">
        <v>40000000</v>
      </c>
      <c r="AK415" s="147">
        <v>6</v>
      </c>
      <c r="AL415" s="147">
        <f t="shared" si="99"/>
        <v>442</v>
      </c>
      <c r="AM415" s="147">
        <f t="shared" si="100"/>
        <v>17680000000</v>
      </c>
      <c r="AN415" s="147"/>
      <c r="AS415" t="s">
        <v>25</v>
      </c>
    </row>
    <row r="416" spans="17:45">
      <c r="Q416" s="97" t="s">
        <v>5475</v>
      </c>
      <c r="R416" s="93">
        <v>5745697</v>
      </c>
      <c r="T416" s="19" t="s">
        <v>5665</v>
      </c>
      <c r="U416" s="19">
        <v>14589</v>
      </c>
      <c r="V416" s="115">
        <v>2151.5486500000002</v>
      </c>
      <c r="W416" s="115">
        <f t="shared" si="98"/>
        <v>31388943.254850004</v>
      </c>
      <c r="X416" s="261" t="s">
        <v>5106</v>
      </c>
      <c r="AH416" s="20">
        <v>125</v>
      </c>
      <c r="AI416" s="20" t="s">
        <v>5246</v>
      </c>
      <c r="AJ416" s="115">
        <v>200000</v>
      </c>
      <c r="AK416" s="20">
        <v>0</v>
      </c>
      <c r="AL416" s="20">
        <f t="shared" si="99"/>
        <v>436</v>
      </c>
      <c r="AM416" s="20">
        <f t="shared" si="100"/>
        <v>87200000</v>
      </c>
      <c r="AN416" s="20"/>
    </row>
    <row r="417" spans="17:45">
      <c r="Q417" s="97" t="s">
        <v>5476</v>
      </c>
      <c r="R417" s="93">
        <v>908158</v>
      </c>
      <c r="T417" s="19" t="s">
        <v>5666</v>
      </c>
      <c r="U417" s="19">
        <v>14741</v>
      </c>
      <c r="V417" s="115">
        <v>2097.0148140000001</v>
      </c>
      <c r="W417" s="115">
        <f t="shared" si="98"/>
        <v>30912095.373174001</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5477</v>
      </c>
      <c r="R418" s="93">
        <v>12642697</v>
      </c>
      <c r="T418" s="19" t="s">
        <v>5668</v>
      </c>
      <c r="U418" s="19">
        <v>10237</v>
      </c>
      <c r="V418" s="115">
        <v>1914.9092619999999</v>
      </c>
      <c r="W418" s="115">
        <f t="shared" si="98"/>
        <v>19602926.115093999</v>
      </c>
      <c r="X418" s="261" t="s">
        <v>5106</v>
      </c>
      <c r="Z418" t="s">
        <v>25</v>
      </c>
      <c r="AH418" s="20">
        <v>127</v>
      </c>
      <c r="AI418" s="20" t="s">
        <v>5249</v>
      </c>
      <c r="AJ418" s="115">
        <v>50000</v>
      </c>
      <c r="AK418" s="20">
        <v>4</v>
      </c>
      <c r="AL418" s="20">
        <f t="shared" si="99"/>
        <v>435</v>
      </c>
      <c r="AM418" s="20">
        <f t="shared" si="100"/>
        <v>21750000</v>
      </c>
      <c r="AN418" s="20"/>
    </row>
    <row r="419" spans="17:45">
      <c r="Q419" s="97" t="s">
        <v>5478</v>
      </c>
      <c r="R419" s="93">
        <v>12297317.81435</v>
      </c>
      <c r="T419" s="19" t="s">
        <v>5672</v>
      </c>
      <c r="U419" s="19">
        <v>19211</v>
      </c>
      <c r="V419" s="115">
        <v>1793.6906100000001</v>
      </c>
      <c r="W419" s="115">
        <f t="shared" si="98"/>
        <v>34458590.308710001</v>
      </c>
      <c r="X419" s="261" t="s">
        <v>5106</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5479</v>
      </c>
      <c r="R420" s="93">
        <v>8959643.8508579992</v>
      </c>
      <c r="T420" s="19" t="s">
        <v>5674</v>
      </c>
      <c r="U420" s="19">
        <v>11599</v>
      </c>
      <c r="V420" s="115">
        <v>1870.667144</v>
      </c>
      <c r="W420" s="115">
        <f t="shared" si="98"/>
        <v>21697868.203256</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5494</v>
      </c>
      <c r="R421" s="93">
        <v>15154095.839328</v>
      </c>
      <c r="S421" t="s">
        <v>25</v>
      </c>
      <c r="T421" s="19" t="s">
        <v>5676</v>
      </c>
      <c r="U421" s="19">
        <v>14098</v>
      </c>
      <c r="V421" s="115">
        <v>1797.423695</v>
      </c>
      <c r="W421" s="115">
        <f t="shared" si="98"/>
        <v>25340079.252110001</v>
      </c>
      <c r="X421" s="261" t="s">
        <v>5106</v>
      </c>
      <c r="AH421" s="20">
        <v>130</v>
      </c>
      <c r="AI421" s="20" t="s">
        <v>5272</v>
      </c>
      <c r="AJ421" s="115">
        <v>-29686490</v>
      </c>
      <c r="AK421" s="20">
        <v>1</v>
      </c>
      <c r="AL421" s="20">
        <f t="shared" si="101"/>
        <v>417</v>
      </c>
      <c r="AM421" s="20">
        <f t="shared" si="102"/>
        <v>-12379266330</v>
      </c>
      <c r="AN421" s="20"/>
    </row>
    <row r="422" spans="17:45">
      <c r="Q422" s="97" t="s">
        <v>5495</v>
      </c>
      <c r="R422" s="93">
        <v>50725508.571864001</v>
      </c>
      <c r="T422" s="19" t="s">
        <v>5677</v>
      </c>
      <c r="U422" s="19">
        <v>8497</v>
      </c>
      <c r="V422" s="115">
        <v>1739.5531579999999</v>
      </c>
      <c r="W422" s="115">
        <f t="shared" si="98"/>
        <v>14780983.183526</v>
      </c>
      <c r="X422" s="261" t="s">
        <v>5106</v>
      </c>
      <c r="AH422" s="20">
        <v>131</v>
      </c>
      <c r="AI422" s="20" t="s">
        <v>5280</v>
      </c>
      <c r="AJ422" s="115">
        <v>-9000000</v>
      </c>
      <c r="AK422" s="20">
        <v>8</v>
      </c>
      <c r="AL422" s="20">
        <f t="shared" si="101"/>
        <v>416</v>
      </c>
      <c r="AM422" s="20">
        <f t="shared" si="102"/>
        <v>-3744000000</v>
      </c>
      <c r="AN422" s="20"/>
    </row>
    <row r="423" spans="17:45" ht="30">
      <c r="Q423" s="97" t="s">
        <v>5502</v>
      </c>
      <c r="R423" s="93">
        <v>2281961.458596</v>
      </c>
      <c r="T423" s="279" t="s">
        <v>5680</v>
      </c>
      <c r="U423" s="279">
        <v>163820</v>
      </c>
      <c r="V423" s="88">
        <v>1588.685326</v>
      </c>
      <c r="W423" s="88">
        <f t="shared" si="98"/>
        <v>260258430.10532001</v>
      </c>
      <c r="X423" s="289" t="s">
        <v>5682</v>
      </c>
      <c r="AH423" s="20">
        <v>132</v>
      </c>
      <c r="AI423" s="20" t="s">
        <v>5324</v>
      </c>
      <c r="AJ423" s="115">
        <v>810000</v>
      </c>
      <c r="AK423" s="20">
        <v>2</v>
      </c>
      <c r="AL423" s="20">
        <f t="shared" si="101"/>
        <v>408</v>
      </c>
      <c r="AM423" s="20">
        <f t="shared" si="102"/>
        <v>330480000</v>
      </c>
      <c r="AN423" s="20"/>
    </row>
    <row r="424" spans="17:45">
      <c r="Q424" s="97" t="s">
        <v>5503</v>
      </c>
      <c r="R424" s="93">
        <v>10998285</v>
      </c>
      <c r="T424" s="19" t="s">
        <v>5680</v>
      </c>
      <c r="U424" s="19">
        <v>11207</v>
      </c>
      <c r="V424" s="115">
        <v>1588.685326</v>
      </c>
      <c r="W424" s="115">
        <f t="shared" si="98"/>
        <v>17804396.448481999</v>
      </c>
      <c r="X424" s="261" t="s">
        <v>5106</v>
      </c>
      <c r="Y424" t="s">
        <v>25</v>
      </c>
      <c r="Z424" t="s">
        <v>25</v>
      </c>
      <c r="AH424" s="20">
        <v>133</v>
      </c>
      <c r="AI424" s="20" t="s">
        <v>5329</v>
      </c>
      <c r="AJ424" s="115">
        <v>-5000000</v>
      </c>
      <c r="AK424" s="20">
        <v>3</v>
      </c>
      <c r="AL424" s="20">
        <f t="shared" si="101"/>
        <v>406</v>
      </c>
      <c r="AM424" s="20">
        <f t="shared" si="102"/>
        <v>-2030000000</v>
      </c>
      <c r="AN424" s="20"/>
    </row>
    <row r="425" spans="17:45">
      <c r="Q425" s="97" t="s">
        <v>5505</v>
      </c>
      <c r="R425" s="93">
        <v>983018.96187300002</v>
      </c>
      <c r="S425" t="s">
        <v>25</v>
      </c>
      <c r="T425" s="19" t="s">
        <v>5683</v>
      </c>
      <c r="U425" s="19">
        <v>7198</v>
      </c>
      <c r="V425" s="115">
        <v>1602.9918909999999</v>
      </c>
      <c r="W425" s="115">
        <f t="shared" si="98"/>
        <v>11538335.631417999</v>
      </c>
      <c r="X425" s="261" t="s">
        <v>5106</v>
      </c>
      <c r="Y425" t="s">
        <v>25</v>
      </c>
      <c r="AH425" s="20">
        <v>134</v>
      </c>
      <c r="AI425" s="20" t="s">
        <v>5333</v>
      </c>
      <c r="AJ425" s="115">
        <v>-26000000</v>
      </c>
      <c r="AK425" s="20">
        <v>0</v>
      </c>
      <c r="AL425" s="20">
        <f t="shared" si="101"/>
        <v>403</v>
      </c>
      <c r="AM425" s="20">
        <f t="shared" si="102"/>
        <v>-10478000000</v>
      </c>
      <c r="AN425" s="20"/>
    </row>
    <row r="426" spans="17:45">
      <c r="Q426" s="97" t="s">
        <v>5508</v>
      </c>
      <c r="R426" s="93">
        <v>17049271.032000002</v>
      </c>
      <c r="T426" s="19" t="s">
        <v>5684</v>
      </c>
      <c r="U426" s="19">
        <v>7804</v>
      </c>
      <c r="V426" s="115">
        <v>1592.7111440000001</v>
      </c>
      <c r="W426" s="115">
        <f t="shared" si="98"/>
        <v>12429517.767776001</v>
      </c>
      <c r="X426" s="261" t="s">
        <v>5106</v>
      </c>
      <c r="Z426" t="s">
        <v>25</v>
      </c>
      <c r="AH426" s="240">
        <v>135</v>
      </c>
      <c r="AI426" s="240" t="s">
        <v>5333</v>
      </c>
      <c r="AJ426" s="231">
        <v>-26000000</v>
      </c>
      <c r="AK426" s="240">
        <v>1</v>
      </c>
      <c r="AL426" s="240">
        <f t="shared" si="101"/>
        <v>403</v>
      </c>
      <c r="AM426" s="240">
        <f t="shared" si="102"/>
        <v>-10478000000</v>
      </c>
      <c r="AN426" s="240"/>
    </row>
    <row r="427" spans="17:45">
      <c r="Q427" s="97" t="s">
        <v>4210</v>
      </c>
      <c r="R427" s="93">
        <v>6829998</v>
      </c>
      <c r="T427" s="19" t="s">
        <v>5692</v>
      </c>
      <c r="U427" s="19">
        <v>2827</v>
      </c>
      <c r="V427" s="115">
        <v>1779.6874809999999</v>
      </c>
      <c r="W427" s="115">
        <f t="shared" si="98"/>
        <v>5031176.5087869996</v>
      </c>
      <c r="X427" s="261" t="s">
        <v>5106</v>
      </c>
      <c r="Y427" t="s">
        <v>25</v>
      </c>
      <c r="AH427" s="20">
        <v>136</v>
      </c>
      <c r="AI427" s="20" t="s">
        <v>5337</v>
      </c>
      <c r="AJ427" s="115">
        <v>-81800000</v>
      </c>
      <c r="AK427" s="20">
        <v>0</v>
      </c>
      <c r="AL427" s="20">
        <f t="shared" si="101"/>
        <v>402</v>
      </c>
      <c r="AM427" s="20">
        <f t="shared" si="102"/>
        <v>-32883600000</v>
      </c>
      <c r="AN427" s="20"/>
    </row>
    <row r="428" spans="17:45">
      <c r="Q428" s="97" t="s">
        <v>5529</v>
      </c>
      <c r="R428" s="93">
        <v>6982608.8207999999</v>
      </c>
      <c r="T428" s="19" t="s">
        <v>5694</v>
      </c>
      <c r="U428" s="19">
        <v>3385</v>
      </c>
      <c r="V428" s="115">
        <v>2015.5993820000001</v>
      </c>
      <c r="W428" s="115">
        <f t="shared" si="98"/>
        <v>6822803.9080700008</v>
      </c>
      <c r="X428" s="261" t="s">
        <v>5106</v>
      </c>
      <c r="Y428" t="s">
        <v>25</v>
      </c>
      <c r="Z428" t="s">
        <v>25</v>
      </c>
      <c r="AH428" s="240">
        <v>137</v>
      </c>
      <c r="AI428" s="240" t="s">
        <v>5337</v>
      </c>
      <c r="AJ428" s="231">
        <v>-110000000</v>
      </c>
      <c r="AK428" s="240">
        <v>1</v>
      </c>
      <c r="AL428" s="240">
        <f t="shared" si="101"/>
        <v>402</v>
      </c>
      <c r="AM428" s="240">
        <f t="shared" si="102"/>
        <v>-44220000000</v>
      </c>
      <c r="AN428" s="240"/>
    </row>
    <row r="429" spans="17:45">
      <c r="Q429" s="97" t="s">
        <v>5535</v>
      </c>
      <c r="R429" s="93">
        <v>7510131.0216000006</v>
      </c>
      <c r="T429" s="19" t="s">
        <v>5698</v>
      </c>
      <c r="U429" s="19">
        <v>158</v>
      </c>
      <c r="V429" s="115">
        <v>2094.2388179999998</v>
      </c>
      <c r="W429" s="115">
        <f t="shared" si="98"/>
        <v>330889.73324399994</v>
      </c>
      <c r="X429" s="261" t="s">
        <v>5106</v>
      </c>
      <c r="Y429" t="s">
        <v>25</v>
      </c>
      <c r="AH429" s="20">
        <v>138</v>
      </c>
      <c r="AI429" s="20" t="s">
        <v>5338</v>
      </c>
      <c r="AJ429" s="115">
        <v>-34000000</v>
      </c>
      <c r="AK429" s="20">
        <v>0</v>
      </c>
      <c r="AL429" s="20">
        <f t="shared" si="101"/>
        <v>401</v>
      </c>
      <c r="AM429" s="20">
        <f t="shared" si="102"/>
        <v>-13634000000</v>
      </c>
      <c r="AN429" s="20"/>
    </row>
    <row r="430" spans="17:45">
      <c r="Q430" s="97" t="s">
        <v>5544</v>
      </c>
      <c r="R430" s="93">
        <v>7278025.5327000003</v>
      </c>
      <c r="T430" s="19" t="s">
        <v>963</v>
      </c>
      <c r="U430" s="19">
        <v>5033</v>
      </c>
      <c r="V430" s="115">
        <v>2229.4976999999999</v>
      </c>
      <c r="W430" s="115">
        <f t="shared" si="98"/>
        <v>11221061.924099999</v>
      </c>
      <c r="X430" s="261" t="s">
        <v>5703</v>
      </c>
      <c r="Z430" t="s">
        <v>25</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5549</v>
      </c>
      <c r="R431" s="93">
        <v>195059.35799999998</v>
      </c>
      <c r="T431" s="19" t="s">
        <v>5707</v>
      </c>
      <c r="U431" s="19">
        <v>2870</v>
      </c>
      <c r="V431" s="115">
        <v>2303.2467459999998</v>
      </c>
      <c r="W431" s="115">
        <f t="shared" si="98"/>
        <v>6610318.1610199995</v>
      </c>
      <c r="X431" s="261" t="s">
        <v>5106</v>
      </c>
      <c r="AH431" s="20">
        <v>140</v>
      </c>
      <c r="AI431" s="20" t="s">
        <v>5351</v>
      </c>
      <c r="AJ431" s="115">
        <v>1000000</v>
      </c>
      <c r="AK431" s="20">
        <v>0</v>
      </c>
      <c r="AL431" s="20">
        <f t="shared" si="103"/>
        <v>396</v>
      </c>
      <c r="AM431" s="20">
        <f t="shared" si="104"/>
        <v>396000000</v>
      </c>
      <c r="AN431" s="20"/>
    </row>
    <row r="432" spans="17:45">
      <c r="Q432" s="97" t="s">
        <v>5551</v>
      </c>
      <c r="R432" s="93">
        <v>862577.83200000005</v>
      </c>
      <c r="T432" s="19" t="s">
        <v>5708</v>
      </c>
      <c r="U432" s="19">
        <v>307</v>
      </c>
      <c r="V432" s="115">
        <v>2315.0266360000001</v>
      </c>
      <c r="W432" s="115">
        <f t="shared" si="98"/>
        <v>710713.17725199996</v>
      </c>
      <c r="X432" s="261" t="s">
        <v>5106</v>
      </c>
      <c r="AH432" s="147">
        <v>141</v>
      </c>
      <c r="AI432" s="147" t="s">
        <v>5351</v>
      </c>
      <c r="AJ432" s="186">
        <v>1000000</v>
      </c>
      <c r="AK432" s="147">
        <v>4</v>
      </c>
      <c r="AL432" s="147">
        <f t="shared" si="103"/>
        <v>396</v>
      </c>
      <c r="AM432" s="147">
        <f t="shared" si="104"/>
        <v>396000000</v>
      </c>
      <c r="AN432" s="147"/>
    </row>
    <row r="433" spans="17:45" ht="30">
      <c r="Q433" s="97" t="s">
        <v>5552</v>
      </c>
      <c r="R433" s="93">
        <v>920308.446</v>
      </c>
      <c r="T433" s="19" t="s">
        <v>5710</v>
      </c>
      <c r="U433" s="19">
        <v>35</v>
      </c>
      <c r="V433" s="115">
        <v>2315</v>
      </c>
      <c r="W433" s="115">
        <f t="shared" si="98"/>
        <v>81025</v>
      </c>
      <c r="X433" s="261" t="s">
        <v>5712</v>
      </c>
      <c r="Y433" s="112"/>
      <c r="AH433" s="20">
        <v>142</v>
      </c>
      <c r="AI433" s="20" t="s">
        <v>5357</v>
      </c>
      <c r="AJ433" s="115">
        <v>400000</v>
      </c>
      <c r="AK433" s="20">
        <v>0</v>
      </c>
      <c r="AL433" s="20">
        <f t="shared" si="103"/>
        <v>392</v>
      </c>
      <c r="AM433" s="20">
        <f t="shared" si="104"/>
        <v>156800000</v>
      </c>
      <c r="AN433" s="20"/>
    </row>
    <row r="434" spans="17:45">
      <c r="Q434" s="97" t="s">
        <v>5554</v>
      </c>
      <c r="R434" s="93">
        <v>4635809.8416840006</v>
      </c>
      <c r="S434" t="s">
        <v>25</v>
      </c>
      <c r="T434" s="19" t="s">
        <v>5713</v>
      </c>
      <c r="U434" s="19">
        <v>94</v>
      </c>
      <c r="V434" s="115">
        <v>2337.1980119999998</v>
      </c>
      <c r="W434" s="115">
        <f t="shared" si="98"/>
        <v>219696.613128</v>
      </c>
      <c r="X434" s="261" t="s">
        <v>5106</v>
      </c>
      <c r="Y434" t="s">
        <v>25</v>
      </c>
      <c r="Z434" t="s">
        <v>25</v>
      </c>
      <c r="AH434" s="147">
        <v>143</v>
      </c>
      <c r="AI434" s="147" t="s">
        <v>5357</v>
      </c>
      <c r="AJ434" s="186">
        <v>400000</v>
      </c>
      <c r="AK434" s="147">
        <v>35</v>
      </c>
      <c r="AL434" s="147">
        <f t="shared" si="103"/>
        <v>392</v>
      </c>
      <c r="AM434" s="147">
        <f t="shared" si="104"/>
        <v>156800000</v>
      </c>
      <c r="AN434" s="147"/>
    </row>
    <row r="435" spans="17:45">
      <c r="Q435" s="97" t="s">
        <v>5583</v>
      </c>
      <c r="R435" s="93">
        <v>288892.40000000002</v>
      </c>
      <c r="T435" s="19" t="s">
        <v>5714</v>
      </c>
      <c r="U435" s="19">
        <v>2534</v>
      </c>
      <c r="V435" s="115">
        <v>2381.7965300000001</v>
      </c>
      <c r="W435" s="115">
        <f t="shared" si="98"/>
        <v>6035472.4070199998</v>
      </c>
      <c r="X435" s="261" t="s">
        <v>5106</v>
      </c>
      <c r="AH435" s="20">
        <v>144</v>
      </c>
      <c r="AI435" s="20" t="s">
        <v>5391</v>
      </c>
      <c r="AJ435" s="115">
        <v>3000000</v>
      </c>
      <c r="AK435" s="20">
        <v>0</v>
      </c>
      <c r="AL435" s="20">
        <f t="shared" si="103"/>
        <v>357</v>
      </c>
      <c r="AM435" s="20">
        <f t="shared" si="104"/>
        <v>1071000000</v>
      </c>
      <c r="AN435" s="20"/>
      <c r="AQ435" t="s">
        <v>25</v>
      </c>
    </row>
    <row r="436" spans="17:45">
      <c r="Q436" s="97" t="s">
        <v>5584</v>
      </c>
      <c r="R436" s="93">
        <v>58508002.009000003</v>
      </c>
      <c r="T436" s="19" t="s">
        <v>5716</v>
      </c>
      <c r="U436" s="19">
        <v>424</v>
      </c>
      <c r="V436" s="115">
        <v>2321.9017680000002</v>
      </c>
      <c r="W436" s="115">
        <f t="shared" si="98"/>
        <v>984486.34963200008</v>
      </c>
      <c r="X436" s="261" t="s">
        <v>5106</v>
      </c>
      <c r="Z436" t="s">
        <v>25</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2245515.5410799999</v>
      </c>
      <c r="T437" s="187" t="s">
        <v>5718</v>
      </c>
      <c r="U437" s="187">
        <v>-32</v>
      </c>
      <c r="V437" s="186">
        <v>2221.2123710000001</v>
      </c>
      <c r="W437" s="186">
        <f t="shared" si="98"/>
        <v>-71078.795872000002</v>
      </c>
      <c r="X437" s="260" t="s">
        <v>5722</v>
      </c>
      <c r="AH437" s="147">
        <v>146</v>
      </c>
      <c r="AI437" s="147" t="s">
        <v>5290</v>
      </c>
      <c r="AJ437" s="186">
        <v>-8644090</v>
      </c>
      <c r="AK437" s="147">
        <v>0</v>
      </c>
      <c r="AL437" s="147">
        <f t="shared" si="105"/>
        <v>338</v>
      </c>
      <c r="AM437" s="147">
        <f t="shared" si="106"/>
        <v>-2921702420</v>
      </c>
      <c r="AN437" s="147" t="s">
        <v>4735</v>
      </c>
    </row>
    <row r="438" spans="17:45">
      <c r="Q438" s="97" t="s">
        <v>5586</v>
      </c>
      <c r="R438" s="93">
        <v>18404699.3442</v>
      </c>
      <c r="T438" s="19" t="s">
        <v>5718</v>
      </c>
      <c r="U438" s="19">
        <v>157</v>
      </c>
      <c r="V438" s="115">
        <v>2221.2123710000001</v>
      </c>
      <c r="W438" s="115">
        <f t="shared" si="98"/>
        <v>348730.34224700002</v>
      </c>
      <c r="X438" s="261" t="s">
        <v>5723</v>
      </c>
      <c r="AH438" s="20">
        <v>147</v>
      </c>
      <c r="AI438" s="20" t="s">
        <v>5290</v>
      </c>
      <c r="AJ438" s="115">
        <v>-65461942</v>
      </c>
      <c r="AK438" s="20">
        <v>1</v>
      </c>
      <c r="AL438" s="20">
        <f t="shared" si="105"/>
        <v>338</v>
      </c>
      <c r="AM438" s="20">
        <f t="shared" si="106"/>
        <v>-22126136396</v>
      </c>
      <c r="AN438" s="20" t="s">
        <v>4735</v>
      </c>
    </row>
    <row r="439" spans="17:45">
      <c r="Q439" s="97" t="s">
        <v>5589</v>
      </c>
      <c r="R439" s="93">
        <v>48684800</v>
      </c>
      <c r="S439" t="s">
        <v>25</v>
      </c>
      <c r="T439" s="19" t="s">
        <v>5718</v>
      </c>
      <c r="U439" s="19">
        <v>965</v>
      </c>
      <c r="V439" s="115">
        <v>2221.2123710000001</v>
      </c>
      <c r="W439" s="115">
        <f t="shared" si="98"/>
        <v>2143469.938015</v>
      </c>
      <c r="X439" s="261" t="s">
        <v>5106</v>
      </c>
      <c r="AH439" s="20">
        <v>148</v>
      </c>
      <c r="AI439" s="20" t="s">
        <v>5414</v>
      </c>
      <c r="AJ439" s="115">
        <v>35000000</v>
      </c>
      <c r="AK439" s="20">
        <v>15</v>
      </c>
      <c r="AL439" s="20">
        <f t="shared" si="105"/>
        <v>337</v>
      </c>
      <c r="AM439" s="20">
        <f t="shared" si="106"/>
        <v>11795000000</v>
      </c>
      <c r="AN439" s="20"/>
      <c r="AS439" t="s">
        <v>25</v>
      </c>
    </row>
    <row r="440" spans="17:45">
      <c r="Q440" s="97" t="s">
        <v>5591</v>
      </c>
      <c r="R440" s="93">
        <v>2264658.5922190002</v>
      </c>
      <c r="T440" s="187" t="s">
        <v>5725</v>
      </c>
      <c r="U440" s="187">
        <v>596</v>
      </c>
      <c r="V440" s="186">
        <v>2180.6765719999999</v>
      </c>
      <c r="W440" s="186">
        <f t="shared" si="98"/>
        <v>1299683.236912</v>
      </c>
      <c r="X440" s="260" t="s">
        <v>1069</v>
      </c>
      <c r="Y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5594</v>
      </c>
      <c r="R441" s="93">
        <v>22877413.789960001</v>
      </c>
      <c r="T441" s="19" t="s">
        <v>5730</v>
      </c>
      <c r="U441" s="19">
        <v>1355</v>
      </c>
      <c r="V441" s="115">
        <v>2277.0926330000002</v>
      </c>
      <c r="W441" s="115">
        <f t="shared" si="98"/>
        <v>3085460.5177150001</v>
      </c>
      <c r="X441" s="261" t="s">
        <v>5106</v>
      </c>
      <c r="AH441" s="20">
        <v>150</v>
      </c>
      <c r="AI441" s="20" t="s">
        <v>5433</v>
      </c>
      <c r="AJ441" s="115">
        <v>1600000</v>
      </c>
      <c r="AK441" s="20">
        <v>1</v>
      </c>
      <c r="AL441" s="20">
        <f t="shared" si="107"/>
        <v>322</v>
      </c>
      <c r="AM441" s="20">
        <f t="shared" si="108"/>
        <v>515200000</v>
      </c>
      <c r="AN441" s="20"/>
    </row>
    <row r="442" spans="17:45">
      <c r="Q442" s="97" t="s">
        <v>5595</v>
      </c>
      <c r="R442" s="93">
        <v>2362539.4373280001</v>
      </c>
      <c r="T442" s="19" t="s">
        <v>5732</v>
      </c>
      <c r="U442" s="19">
        <v>3742</v>
      </c>
      <c r="V442" s="115">
        <v>2207.7650429999999</v>
      </c>
      <c r="W442" s="115">
        <f t="shared" si="98"/>
        <v>8261456.790906</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5596</v>
      </c>
      <c r="R443" s="93">
        <v>16042676.656608</v>
      </c>
      <c r="T443" s="19" t="s">
        <v>5734</v>
      </c>
      <c r="U443" s="19">
        <v>3216</v>
      </c>
      <c r="V443" s="115">
        <v>2043.648557</v>
      </c>
      <c r="W443" s="115">
        <f t="shared" si="98"/>
        <v>6572373.7593120001</v>
      </c>
      <c r="X443" s="261" t="s">
        <v>5106</v>
      </c>
      <c r="AH443" s="20">
        <v>152</v>
      </c>
      <c r="AI443" s="20" t="s">
        <v>5436</v>
      </c>
      <c r="AJ443" s="115">
        <v>600000</v>
      </c>
      <c r="AK443" s="20">
        <v>9</v>
      </c>
      <c r="AL443" s="20">
        <f>AK443+AL444</f>
        <v>321</v>
      </c>
      <c r="AM443" s="20">
        <f t="shared" si="108"/>
        <v>192600000</v>
      </c>
      <c r="AN443" s="20" t="s">
        <v>5438</v>
      </c>
    </row>
    <row r="444" spans="17:45">
      <c r="Q444" s="97" t="s">
        <v>5599</v>
      </c>
      <c r="R444" s="93">
        <v>18403291.448284</v>
      </c>
      <c r="T444" s="187" t="s">
        <v>5736</v>
      </c>
      <c r="U444" s="187">
        <v>42393</v>
      </c>
      <c r="V444" s="186">
        <v>2124.4852740000001</v>
      </c>
      <c r="W444" s="186">
        <f t="shared" si="98"/>
        <v>90063304.22068201</v>
      </c>
      <c r="X444" s="260" t="s">
        <v>5737</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5600</v>
      </c>
      <c r="R445" s="93">
        <v>10561447.246918</v>
      </c>
      <c r="T445" s="19" t="s">
        <v>5738</v>
      </c>
      <c r="U445" s="19">
        <v>1307</v>
      </c>
      <c r="V445" s="115">
        <v>2213.652313</v>
      </c>
      <c r="W445" s="115">
        <f t="shared" si="98"/>
        <v>2893243.5730909999</v>
      </c>
      <c r="X445" s="261" t="s">
        <v>5106</v>
      </c>
      <c r="AH445" s="20">
        <v>154</v>
      </c>
      <c r="AI445" s="20" t="s">
        <v>5486</v>
      </c>
      <c r="AJ445" s="115">
        <v>-46183500</v>
      </c>
      <c r="AK445" s="20">
        <v>0</v>
      </c>
      <c r="AL445" s="20">
        <f t="shared" si="109"/>
        <v>289</v>
      </c>
      <c r="AM445" s="20">
        <f t="shared" si="110"/>
        <v>-13347031500</v>
      </c>
      <c r="AN445" s="20" t="s">
        <v>4857</v>
      </c>
    </row>
    <row r="446" spans="17:45">
      <c r="Q446" s="97" t="s">
        <v>5601</v>
      </c>
      <c r="R446" s="93">
        <v>1226811.9176660001</v>
      </c>
      <c r="T446" s="19" t="s">
        <v>5739</v>
      </c>
      <c r="U446" s="19">
        <v>44079</v>
      </c>
      <c r="V446" s="115">
        <v>2155.0411519999998</v>
      </c>
      <c r="W446" s="115">
        <f t="shared" si="98"/>
        <v>94992058.939007998</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5606</v>
      </c>
      <c r="R447" s="93">
        <v>39373959.190266006</v>
      </c>
      <c r="T447" s="19" t="s">
        <v>5745</v>
      </c>
      <c r="U447" s="19">
        <v>131</v>
      </c>
      <c r="V447" s="115">
        <v>2099.4040150000001</v>
      </c>
      <c r="W447" s="115">
        <f t="shared" si="98"/>
        <v>275021.925965</v>
      </c>
      <c r="X447" s="261" t="s">
        <v>5106</v>
      </c>
      <c r="Y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5607</v>
      </c>
      <c r="R448" s="93">
        <v>27703487.063980002</v>
      </c>
      <c r="T448" s="19" t="s">
        <v>5752</v>
      </c>
      <c r="U448" s="19">
        <v>162</v>
      </c>
      <c r="V448" s="115">
        <v>2021.3081500000001</v>
      </c>
      <c r="W448" s="115">
        <f t="shared" si="98"/>
        <v>327451.9203</v>
      </c>
      <c r="X448" s="261" t="s">
        <v>5106</v>
      </c>
      <c r="Z448" t="s">
        <v>25</v>
      </c>
      <c r="AH448" s="147">
        <v>157</v>
      </c>
      <c r="AI448" s="147" t="s">
        <v>5490</v>
      </c>
      <c r="AJ448" s="186">
        <v>60000</v>
      </c>
      <c r="AK448" s="147">
        <v>5</v>
      </c>
      <c r="AL448" s="147">
        <f t="shared" si="111"/>
        <v>287</v>
      </c>
      <c r="AM448" s="147">
        <f t="shared" si="112"/>
        <v>17220000</v>
      </c>
      <c r="AN448" s="147"/>
    </row>
    <row r="449" spans="17:44">
      <c r="Q449" s="97" t="s">
        <v>4183</v>
      </c>
      <c r="R449" s="93">
        <v>8738896.6890719999</v>
      </c>
      <c r="T449" s="19" t="s">
        <v>5764</v>
      </c>
      <c r="U449" s="19">
        <v>131</v>
      </c>
      <c r="V449" s="115">
        <v>1985.358328</v>
      </c>
      <c r="W449" s="115">
        <f t="shared" si="98"/>
        <v>260081.94096800001</v>
      </c>
      <c r="X449" s="261"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5609</v>
      </c>
      <c r="R450" s="93">
        <v>348201.66738</v>
      </c>
      <c r="T450" s="19" t="s">
        <v>5773</v>
      </c>
      <c r="U450" s="19">
        <v>1449</v>
      </c>
      <c r="V450" s="115">
        <v>2007.787806</v>
      </c>
      <c r="W450" s="115">
        <f t="shared" si="98"/>
        <v>2909284.5308940001</v>
      </c>
      <c r="X450" s="261" t="s">
        <v>5106</v>
      </c>
      <c r="Z450" t="s">
        <v>25</v>
      </c>
      <c r="AH450" s="20">
        <v>159</v>
      </c>
      <c r="AI450" s="20" t="s">
        <v>5554</v>
      </c>
      <c r="AJ450" s="115">
        <v>100000</v>
      </c>
      <c r="AK450" s="20">
        <v>1</v>
      </c>
      <c r="AL450" s="20">
        <f t="shared" si="111"/>
        <v>253</v>
      </c>
      <c r="AM450" s="20">
        <f t="shared" si="112"/>
        <v>25300000</v>
      </c>
      <c r="AN450" s="20"/>
    </row>
    <row r="451" spans="17:44">
      <c r="Q451" s="97" t="s">
        <v>5613</v>
      </c>
      <c r="R451" s="93">
        <v>4158090.8935679998</v>
      </c>
      <c r="T451" s="19" t="s">
        <v>5774</v>
      </c>
      <c r="U451" s="19">
        <v>19028</v>
      </c>
      <c r="V451" s="115">
        <v>1982.5102529999999</v>
      </c>
      <c r="W451" s="115">
        <f t="shared" si="98"/>
        <v>37723205.094084002</v>
      </c>
      <c r="X451" s="261" t="s">
        <v>5106</v>
      </c>
      <c r="Y451" t="s">
        <v>25</v>
      </c>
      <c r="Z451" t="s">
        <v>25</v>
      </c>
      <c r="AF451" s="94" t="s">
        <v>25</v>
      </c>
      <c r="AH451" s="147">
        <v>160</v>
      </c>
      <c r="AI451" s="147" t="s">
        <v>5543</v>
      </c>
      <c r="AJ451" s="186">
        <v>150000</v>
      </c>
      <c r="AK451" s="147">
        <v>0</v>
      </c>
      <c r="AL451" s="147">
        <f t="shared" si="111"/>
        <v>252</v>
      </c>
      <c r="AM451" s="147">
        <f t="shared" si="112"/>
        <v>37800000</v>
      </c>
      <c r="AN451" s="147"/>
    </row>
    <row r="452" spans="17:44">
      <c r="Q452" s="97" t="s">
        <v>5610</v>
      </c>
      <c r="R452" s="93">
        <v>110770524.97879399</v>
      </c>
      <c r="T452" s="19" t="s">
        <v>5775</v>
      </c>
      <c r="U452" s="19">
        <v>848</v>
      </c>
      <c r="V452" s="115">
        <v>1768.97966</v>
      </c>
      <c r="W452" s="115">
        <f t="shared" si="98"/>
        <v>1500094.75168</v>
      </c>
      <c r="X452" s="261" t="s">
        <v>5106</v>
      </c>
      <c r="AH452" s="20">
        <v>161</v>
      </c>
      <c r="AI452" s="20" t="s">
        <v>5543</v>
      </c>
      <c r="AJ452" s="115">
        <v>-683050</v>
      </c>
      <c r="AK452" s="20">
        <v>7</v>
      </c>
      <c r="AL452" s="20">
        <f t="shared" si="111"/>
        <v>252</v>
      </c>
      <c r="AM452" s="20">
        <f t="shared" si="112"/>
        <v>-172128600</v>
      </c>
      <c r="AN452" s="20" t="s">
        <v>5557</v>
      </c>
    </row>
    <row r="453" spans="17:44">
      <c r="Q453" s="97" t="s">
        <v>5613</v>
      </c>
      <c r="R453" s="93">
        <v>17900000</v>
      </c>
      <c r="T453" s="19" t="s">
        <v>5776</v>
      </c>
      <c r="U453" s="19">
        <v>3824</v>
      </c>
      <c r="V453" s="115">
        <v>1890.8547169999999</v>
      </c>
      <c r="W453" s="115">
        <f t="shared" si="98"/>
        <v>7230628.4378079996</v>
      </c>
      <c r="X453" s="261" t="s">
        <v>5106</v>
      </c>
      <c r="AH453" s="147">
        <v>162</v>
      </c>
      <c r="AI453" s="147" t="s">
        <v>5565</v>
      </c>
      <c r="AJ453" s="186">
        <v>200000</v>
      </c>
      <c r="AK453" s="147">
        <v>7</v>
      </c>
      <c r="AL453" s="147">
        <f t="shared" si="111"/>
        <v>245</v>
      </c>
      <c r="AM453" s="147">
        <f t="shared" si="112"/>
        <v>49000000</v>
      </c>
      <c r="AN453" s="147"/>
    </row>
    <row r="454" spans="17:44">
      <c r="Q454" s="97" t="s">
        <v>5625</v>
      </c>
      <c r="R454" s="93">
        <v>12114824.927374</v>
      </c>
      <c r="T454" s="19" t="s">
        <v>5778</v>
      </c>
      <c r="U454" s="19">
        <v>14010</v>
      </c>
      <c r="V454" s="115">
        <v>2124.7244390000001</v>
      </c>
      <c r="W454" s="115">
        <f t="shared" si="98"/>
        <v>29767389.390390001</v>
      </c>
      <c r="X454" s="261" t="s">
        <v>5106</v>
      </c>
      <c r="AH454" s="147">
        <v>163</v>
      </c>
      <c r="AI454" s="147" t="s">
        <v>5570</v>
      </c>
      <c r="AJ454" s="186">
        <v>150000</v>
      </c>
      <c r="AK454" s="147">
        <v>5</v>
      </c>
      <c r="AL454" s="147">
        <f t="shared" si="111"/>
        <v>238</v>
      </c>
      <c r="AM454" s="147">
        <f t="shared" si="112"/>
        <v>35700000</v>
      </c>
      <c r="AN454" s="147"/>
    </row>
    <row r="455" spans="17:44">
      <c r="Q455" s="97" t="s">
        <v>5628</v>
      </c>
      <c r="R455" s="93">
        <v>6684147.0064600008</v>
      </c>
      <c r="T455" s="19" t="s">
        <v>5779</v>
      </c>
      <c r="U455" s="19">
        <v>73</v>
      </c>
      <c r="V455" s="115">
        <v>2076.1678900000002</v>
      </c>
      <c r="W455" s="115">
        <f t="shared" si="98"/>
        <v>151560.25597</v>
      </c>
      <c r="X455" s="261" t="s">
        <v>5106</v>
      </c>
      <c r="AA455" t="s">
        <v>25</v>
      </c>
      <c r="AH455" s="20">
        <v>164</v>
      </c>
      <c r="AI455" s="20" t="s">
        <v>5574</v>
      </c>
      <c r="AJ455" s="115">
        <v>320000</v>
      </c>
      <c r="AK455" s="20">
        <v>2</v>
      </c>
      <c r="AL455" s="20">
        <f t="shared" si="111"/>
        <v>233</v>
      </c>
      <c r="AM455" s="20">
        <f t="shared" si="112"/>
        <v>74560000</v>
      </c>
      <c r="AN455" s="20"/>
    </row>
    <row r="456" spans="17:44">
      <c r="Q456" s="97" t="s">
        <v>5632</v>
      </c>
      <c r="R456" s="93">
        <v>1826535.2307560001</v>
      </c>
      <c r="T456" s="19" t="s">
        <v>5781</v>
      </c>
      <c r="U456" s="19">
        <v>236</v>
      </c>
      <c r="V456" s="115">
        <v>2039.4867830000001</v>
      </c>
      <c r="W456" s="115">
        <f t="shared" si="98"/>
        <v>481318.88078800001</v>
      </c>
      <c r="X456" s="261" t="s">
        <v>5106</v>
      </c>
      <c r="AH456" s="20">
        <v>165</v>
      </c>
      <c r="AI456" s="20" t="s">
        <v>5575</v>
      </c>
      <c r="AJ456" s="115">
        <v>200000</v>
      </c>
      <c r="AK456" s="20">
        <v>29</v>
      </c>
      <c r="AL456" s="20">
        <f t="shared" si="111"/>
        <v>231</v>
      </c>
      <c r="AM456" s="20">
        <f t="shared" si="112"/>
        <v>46200000</v>
      </c>
      <c r="AN456" s="20"/>
    </row>
    <row r="457" spans="17:44">
      <c r="Q457" s="97" t="s">
        <v>5634</v>
      </c>
      <c r="R457" s="93">
        <v>3577366.94</v>
      </c>
      <c r="T457" s="19" t="s">
        <v>5784</v>
      </c>
      <c r="U457" s="19">
        <v>75</v>
      </c>
      <c r="V457" s="115">
        <v>1950.3675760000001</v>
      </c>
      <c r="W457" s="115">
        <f t="shared" si="98"/>
        <v>146277.56820000001</v>
      </c>
      <c r="X457" s="261" t="s">
        <v>5106</v>
      </c>
      <c r="AH457" s="20">
        <v>166</v>
      </c>
      <c r="AI457" s="20" t="s">
        <v>5610</v>
      </c>
      <c r="AJ457" s="115">
        <v>4200000</v>
      </c>
      <c r="AK457" s="20">
        <v>0</v>
      </c>
      <c r="AL457" s="20">
        <f t="shared" si="111"/>
        <v>202</v>
      </c>
      <c r="AM457" s="20">
        <f t="shared" si="112"/>
        <v>848400000</v>
      </c>
      <c r="AN457" s="20"/>
    </row>
    <row r="458" spans="17:44">
      <c r="Q458" s="97" t="s">
        <v>5637</v>
      </c>
      <c r="R458" s="93">
        <v>21239029.173567999</v>
      </c>
      <c r="T458" s="19" t="s">
        <v>5796</v>
      </c>
      <c r="U458" s="19">
        <v>232</v>
      </c>
      <c r="V458" s="115">
        <v>1830.5750069999999</v>
      </c>
      <c r="W458" s="115">
        <f t="shared" si="98"/>
        <v>424693.40162399999</v>
      </c>
      <c r="X458" s="261" t="s">
        <v>5106</v>
      </c>
      <c r="Y458" t="s">
        <v>25</v>
      </c>
      <c r="AH458" s="147">
        <v>167</v>
      </c>
      <c r="AI458" s="147" t="s">
        <v>5610</v>
      </c>
      <c r="AJ458" s="186">
        <v>3300000</v>
      </c>
      <c r="AK458" s="147">
        <v>11</v>
      </c>
      <c r="AL458" s="147">
        <f t="shared" si="111"/>
        <v>202</v>
      </c>
      <c r="AM458" s="147">
        <f t="shared" si="112"/>
        <v>666600000</v>
      </c>
      <c r="AN458" s="147"/>
    </row>
    <row r="459" spans="17:44">
      <c r="Q459" s="97" t="s">
        <v>5642</v>
      </c>
      <c r="R459" s="93">
        <v>242957252.40163299</v>
      </c>
      <c r="T459" s="19" t="s">
        <v>5799</v>
      </c>
      <c r="U459" s="19">
        <v>308</v>
      </c>
      <c r="V459" s="115">
        <v>1812.728578</v>
      </c>
      <c r="W459" s="115">
        <f t="shared" si="98"/>
        <v>558320.40202399995</v>
      </c>
      <c r="X459" s="261" t="s">
        <v>5106</v>
      </c>
      <c r="Y459" t="s">
        <v>25</v>
      </c>
      <c r="AH459" s="147">
        <v>168</v>
      </c>
      <c r="AI459" s="147" t="s">
        <v>5634</v>
      </c>
      <c r="AJ459" s="186">
        <v>-1500000</v>
      </c>
      <c r="AK459" s="147">
        <v>42</v>
      </c>
      <c r="AL459" s="147">
        <f t="shared" si="111"/>
        <v>191</v>
      </c>
      <c r="AM459" s="147">
        <f t="shared" si="112"/>
        <v>-286500000</v>
      </c>
      <c r="AN459" s="147"/>
    </row>
    <row r="460" spans="17:44">
      <c r="Q460" s="97" t="s">
        <v>5643</v>
      </c>
      <c r="R460" s="93">
        <v>7357181.2750800001</v>
      </c>
      <c r="T460" s="19" t="s">
        <v>5801</v>
      </c>
      <c r="U460" s="19">
        <v>106</v>
      </c>
      <c r="V460" s="115">
        <v>1958.8888869</v>
      </c>
      <c r="W460" s="115">
        <f t="shared" si="98"/>
        <v>207642.22201140001</v>
      </c>
      <c r="X460" s="261" t="s">
        <v>5106</v>
      </c>
      <c r="AH460" s="20">
        <v>169</v>
      </c>
      <c r="AI460" s="20" t="s">
        <v>5680</v>
      </c>
      <c r="AJ460" s="115">
        <v>260000</v>
      </c>
      <c r="AK460" s="20">
        <v>22</v>
      </c>
      <c r="AL460" s="20">
        <f t="shared" si="111"/>
        <v>149</v>
      </c>
      <c r="AM460" s="20">
        <f t="shared" si="112"/>
        <v>38740000</v>
      </c>
      <c r="AN460" s="20"/>
    </row>
    <row r="461" spans="17:44">
      <c r="Q461" s="97" t="s">
        <v>5647</v>
      </c>
      <c r="R461" s="93">
        <v>14951411.942400001</v>
      </c>
      <c r="T461" s="19" t="s">
        <v>5823</v>
      </c>
      <c r="U461" s="19">
        <v>17050</v>
      </c>
      <c r="V461" s="115">
        <v>1984.311475</v>
      </c>
      <c r="W461" s="115">
        <f t="shared" si="98"/>
        <v>33832510.64875</v>
      </c>
      <c r="X461" s="261" t="s">
        <v>5825</v>
      </c>
      <c r="Y461" t="s">
        <v>25</v>
      </c>
      <c r="AA461" t="s">
        <v>25</v>
      </c>
      <c r="AH461" s="20">
        <v>170</v>
      </c>
      <c r="AI461" s="20" t="s">
        <v>5708</v>
      </c>
      <c r="AJ461" s="115">
        <v>20000</v>
      </c>
      <c r="AK461" s="20">
        <v>0</v>
      </c>
      <c r="AL461" s="20">
        <f t="shared" si="111"/>
        <v>127</v>
      </c>
      <c r="AM461" s="20">
        <f t="shared" si="112"/>
        <v>2540000</v>
      </c>
      <c r="AN461" s="20"/>
    </row>
    <row r="462" spans="17:44">
      <c r="Q462" s="97" t="s">
        <v>5649</v>
      </c>
      <c r="R462" s="93">
        <v>47928209.377011999</v>
      </c>
      <c r="T462" s="19" t="s">
        <v>5823</v>
      </c>
      <c r="U462" s="19">
        <v>17050</v>
      </c>
      <c r="V462" s="115">
        <v>1984.311475</v>
      </c>
      <c r="W462" s="115">
        <f t="shared" si="98"/>
        <v>33832510.64875</v>
      </c>
      <c r="X462" s="261" t="s">
        <v>5826</v>
      </c>
      <c r="Y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5651</v>
      </c>
      <c r="R463" s="93">
        <v>2281595.69937</v>
      </c>
      <c r="T463" s="19" t="s">
        <v>5828</v>
      </c>
      <c r="U463" s="19">
        <v>9659</v>
      </c>
      <c r="V463" s="115">
        <v>2073.8685089999999</v>
      </c>
      <c r="W463" s="115">
        <f t="shared" si="98"/>
        <v>20031495.928431001</v>
      </c>
      <c r="X463" s="261" t="s">
        <v>5829</v>
      </c>
      <c r="Y463" t="s">
        <v>25</v>
      </c>
      <c r="AH463" s="147">
        <v>172</v>
      </c>
      <c r="AI463" s="147" t="s">
        <v>5718</v>
      </c>
      <c r="AJ463" s="186">
        <v>70000</v>
      </c>
      <c r="AK463" s="147">
        <v>0</v>
      </c>
      <c r="AL463" s="147">
        <f t="shared" si="113"/>
        <v>120</v>
      </c>
      <c r="AM463" s="147">
        <f t="shared" si="114"/>
        <v>8400000</v>
      </c>
      <c r="AN463" s="147"/>
    </row>
    <row r="464" spans="17:44">
      <c r="Q464" s="97" t="s">
        <v>5652</v>
      </c>
      <c r="R464" s="93">
        <v>2964916.035069</v>
      </c>
      <c r="T464" s="19" t="s">
        <v>5838</v>
      </c>
      <c r="U464" s="19">
        <v>323</v>
      </c>
      <c r="V464" s="115">
        <v>1975.162028</v>
      </c>
      <c r="W464" s="115">
        <f t="shared" si="98"/>
        <v>637977.33504399995</v>
      </c>
      <c r="X464" s="261" t="s">
        <v>5106</v>
      </c>
      <c r="AH464" s="20">
        <v>173</v>
      </c>
      <c r="AI464" s="20" t="s">
        <v>5718</v>
      </c>
      <c r="AJ464" s="115">
        <v>70000</v>
      </c>
      <c r="AK464" s="20">
        <v>1</v>
      </c>
      <c r="AL464" s="20">
        <f t="shared" si="113"/>
        <v>120</v>
      </c>
      <c r="AM464" s="20">
        <f t="shared" si="114"/>
        <v>8400000</v>
      </c>
      <c r="AN464" s="20"/>
      <c r="AR464" t="s">
        <v>25</v>
      </c>
    </row>
    <row r="465" spans="17:45">
      <c r="Q465" s="97" t="s">
        <v>5654</v>
      </c>
      <c r="R465" s="93">
        <v>6460549.4269619994</v>
      </c>
      <c r="T465" s="19" t="s">
        <v>5839</v>
      </c>
      <c r="U465" s="19">
        <v>238</v>
      </c>
      <c r="V465" s="115">
        <v>1960.303598</v>
      </c>
      <c r="W465" s="115">
        <f t="shared" si="98"/>
        <v>466552.25632400002</v>
      </c>
      <c r="X465" s="261" t="s">
        <v>5106</v>
      </c>
      <c r="Z465" t="s">
        <v>25</v>
      </c>
      <c r="AH465" s="20">
        <v>174</v>
      </c>
      <c r="AI465" s="20" t="s">
        <v>5725</v>
      </c>
      <c r="AJ465" s="115">
        <v>330000</v>
      </c>
      <c r="AK465" s="20">
        <v>0</v>
      </c>
      <c r="AL465" s="20">
        <f t="shared" si="113"/>
        <v>119</v>
      </c>
      <c r="AM465" s="20">
        <f t="shared" si="114"/>
        <v>39270000</v>
      </c>
      <c r="AN465" s="20"/>
      <c r="AR465" t="s">
        <v>25</v>
      </c>
    </row>
    <row r="466" spans="17:45">
      <c r="Q466" s="97" t="s">
        <v>5657</v>
      </c>
      <c r="R466" s="93">
        <v>5212319.8968359996</v>
      </c>
      <c r="T466" s="19" t="s">
        <v>5840</v>
      </c>
      <c r="U466" s="19">
        <v>75</v>
      </c>
      <c r="V466" s="115">
        <v>1990.893174</v>
      </c>
      <c r="W466" s="115">
        <f t="shared" si="98"/>
        <v>149316.98805000001</v>
      </c>
      <c r="X466" s="261" t="s">
        <v>5841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5659</v>
      </c>
      <c r="R467" s="93">
        <v>4524496.4792809999</v>
      </c>
      <c r="T467" s="19" t="s">
        <v>5840</v>
      </c>
      <c r="U467" s="19">
        <v>95</v>
      </c>
      <c r="V467" s="115">
        <v>1990.893174</v>
      </c>
      <c r="W467" s="115">
        <f t="shared" si="98"/>
        <v>189134.85153000001</v>
      </c>
      <c r="X467" s="261" t="s">
        <v>5106</v>
      </c>
      <c r="Z467" t="s">
        <v>25</v>
      </c>
      <c r="AH467" s="147">
        <v>176</v>
      </c>
      <c r="AI467" s="147" t="s">
        <v>5736</v>
      </c>
      <c r="AJ467" s="186">
        <v>90000000</v>
      </c>
      <c r="AK467" s="147">
        <v>16</v>
      </c>
      <c r="AL467" s="147">
        <f t="shared" si="115"/>
        <v>109</v>
      </c>
      <c r="AM467" s="147">
        <f t="shared" si="116"/>
        <v>9810000000</v>
      </c>
      <c r="AN467" s="147"/>
      <c r="AS467" t="s">
        <v>25</v>
      </c>
    </row>
    <row r="468" spans="17:45">
      <c r="Q468" s="97" t="s">
        <v>5661</v>
      </c>
      <c r="R468" s="93">
        <v>22866040.240959998</v>
      </c>
      <c r="T468" s="19" t="s">
        <v>5842</v>
      </c>
      <c r="U468" s="19">
        <v>284</v>
      </c>
      <c r="V468" s="115">
        <v>1989.045169</v>
      </c>
      <c r="W468" s="115">
        <f t="shared" si="98"/>
        <v>564888.82799599995</v>
      </c>
      <c r="X468" s="261" t="s">
        <v>5106</v>
      </c>
      <c r="Z468" t="s">
        <v>25</v>
      </c>
      <c r="AH468" s="147">
        <v>177</v>
      </c>
      <c r="AI468" s="147" t="s">
        <v>5762</v>
      </c>
      <c r="AJ468" s="186">
        <v>-15000000</v>
      </c>
      <c r="AK468" s="147">
        <v>65</v>
      </c>
      <c r="AL468" s="147">
        <f t="shared" si="115"/>
        <v>93</v>
      </c>
      <c r="AM468" s="147">
        <f t="shared" si="116"/>
        <v>-1395000000</v>
      </c>
      <c r="AN468" s="147" t="s">
        <v>5763</v>
      </c>
    </row>
    <row r="469" spans="17:45" ht="30">
      <c r="Q469" s="97" t="s">
        <v>5663</v>
      </c>
      <c r="R469" s="93">
        <v>15359304.269892</v>
      </c>
      <c r="T469" s="187" t="s">
        <v>5846</v>
      </c>
      <c r="U469" s="187">
        <v>11034</v>
      </c>
      <c r="V469" s="186">
        <v>1960.6845390000001</v>
      </c>
      <c r="W469" s="186">
        <f t="shared" si="98"/>
        <v>21634193.203326002</v>
      </c>
      <c r="X469" s="260" t="s">
        <v>5851</v>
      </c>
      <c r="Z469" t="s">
        <v>25</v>
      </c>
      <c r="AH469" s="147">
        <v>178</v>
      </c>
      <c r="AI469" s="147" t="s">
        <v>5823</v>
      </c>
      <c r="AJ469" s="186">
        <v>33833075</v>
      </c>
      <c r="AK469" s="147">
        <v>0</v>
      </c>
      <c r="AL469" s="147">
        <f t="shared" si="115"/>
        <v>28</v>
      </c>
      <c r="AM469" s="147">
        <f t="shared" si="116"/>
        <v>947326100</v>
      </c>
      <c r="AN469" s="147" t="s">
        <v>5827</v>
      </c>
    </row>
    <row r="470" spans="17:45" ht="30">
      <c r="Q470" s="97" t="s">
        <v>5664</v>
      </c>
      <c r="R470" s="93">
        <v>2868508.1846330003</v>
      </c>
      <c r="T470" s="19" t="s">
        <v>5846</v>
      </c>
      <c r="U470" s="19">
        <v>4469</v>
      </c>
      <c r="V470" s="115">
        <v>1960.6845390000001</v>
      </c>
      <c r="W470" s="115">
        <f t="shared" si="98"/>
        <v>8762299.2047910001</v>
      </c>
      <c r="X470" s="261" t="s">
        <v>5852</v>
      </c>
      <c r="Z470" t="s">
        <v>25</v>
      </c>
      <c r="AH470" s="20">
        <v>197</v>
      </c>
      <c r="AI470" s="20" t="s">
        <v>5823</v>
      </c>
      <c r="AJ470" s="115">
        <v>20033075</v>
      </c>
      <c r="AK470" s="20">
        <v>28</v>
      </c>
      <c r="AL470" s="20">
        <f t="shared" si="115"/>
        <v>28</v>
      </c>
      <c r="AM470" s="20">
        <f t="shared" si="116"/>
        <v>560926100</v>
      </c>
      <c r="AN470" s="20" t="s">
        <v>5827</v>
      </c>
    </row>
    <row r="471" spans="17:45">
      <c r="Q471" s="97" t="s">
        <v>5665</v>
      </c>
      <c r="R471" s="93">
        <v>17450393.011856001</v>
      </c>
      <c r="T471" s="19" t="s">
        <v>5846</v>
      </c>
      <c r="U471" s="19">
        <v>-174834</v>
      </c>
      <c r="V471" s="115">
        <v>1955.271154</v>
      </c>
      <c r="W471" s="115">
        <f t="shared" si="98"/>
        <v>-341847876.93843603</v>
      </c>
      <c r="X471" s="261" t="s">
        <v>5853</v>
      </c>
      <c r="AH471" s="147">
        <v>198</v>
      </c>
      <c r="AI471" s="147" t="s">
        <v>5846</v>
      </c>
      <c r="AJ471" s="186">
        <v>-22520813.151772</v>
      </c>
      <c r="AK471" s="147">
        <v>0</v>
      </c>
      <c r="AL471" s="147">
        <f>AK471+AL487</f>
        <v>0</v>
      </c>
      <c r="AM471" s="147">
        <f t="shared" si="116"/>
        <v>0</v>
      </c>
      <c r="AN471" s="147" t="s">
        <v>5855</v>
      </c>
    </row>
    <row r="472" spans="17:45">
      <c r="Q472" s="97" t="s">
        <v>5666</v>
      </c>
      <c r="R472" s="93">
        <v>31388943.254850004</v>
      </c>
      <c r="T472" s="19" t="s">
        <v>5846</v>
      </c>
      <c r="U472" s="19">
        <v>-78942</v>
      </c>
      <c r="V472" s="115">
        <v>1955.271154</v>
      </c>
      <c r="W472" s="115">
        <f t="shared" si="98"/>
        <v>-154353015.43906799</v>
      </c>
      <c r="X472" s="261" t="s">
        <v>5854</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5668</v>
      </c>
      <c r="R473" s="93">
        <v>30912095.373174001</v>
      </c>
      <c r="T473" s="187" t="s">
        <v>5846</v>
      </c>
      <c r="U473" s="187">
        <v>-11518</v>
      </c>
      <c r="V473" s="186">
        <v>1955.271154</v>
      </c>
      <c r="W473" s="186">
        <f t="shared" si="98"/>
        <v>-22520813.151772</v>
      </c>
      <c r="X473" s="260" t="s">
        <v>5855</v>
      </c>
      <c r="AA473" t="s">
        <v>25</v>
      </c>
      <c r="AH473" s="20">
        <v>200</v>
      </c>
      <c r="AI473" s="20" t="s">
        <v>5846</v>
      </c>
      <c r="AJ473" s="115">
        <v>50000000</v>
      </c>
      <c r="AK473" s="20">
        <v>1</v>
      </c>
      <c r="AL473" s="20">
        <f t="shared" si="117"/>
        <v>151</v>
      </c>
      <c r="AM473" s="20">
        <f t="shared" si="118"/>
        <v>7550000000</v>
      </c>
      <c r="AN473" s="20" t="s">
        <v>5857</v>
      </c>
    </row>
    <row r="474" spans="17:45">
      <c r="Q474" s="97" t="s">
        <v>5672</v>
      </c>
      <c r="R474" s="93">
        <v>19602926.115093999</v>
      </c>
      <c r="T474" s="19" t="s">
        <v>5866</v>
      </c>
      <c r="U474" s="19">
        <v>8622</v>
      </c>
      <c r="V474" s="115">
        <v>1930.4022150000001</v>
      </c>
      <c r="W474" s="115">
        <f t="shared" si="98"/>
        <v>16643927.89773</v>
      </c>
      <c r="X474" s="261" t="s">
        <v>743</v>
      </c>
      <c r="Z474" t="s">
        <v>25</v>
      </c>
      <c r="AH474" s="20">
        <v>201</v>
      </c>
      <c r="AI474" s="20" t="s">
        <v>5863</v>
      </c>
      <c r="AJ474" s="115">
        <v>50000000</v>
      </c>
      <c r="AK474" s="20">
        <v>8</v>
      </c>
      <c r="AL474" s="20">
        <f t="shared" si="117"/>
        <v>150</v>
      </c>
      <c r="AM474" s="20">
        <f t="shared" si="118"/>
        <v>7500000000</v>
      </c>
      <c r="AN474" s="20" t="s">
        <v>5857</v>
      </c>
    </row>
    <row r="475" spans="17:45">
      <c r="Q475" s="97" t="s">
        <v>5674</v>
      </c>
      <c r="R475" s="93">
        <v>34458590.308710001</v>
      </c>
      <c r="T475" s="19" t="s">
        <v>5867</v>
      </c>
      <c r="U475" s="19">
        <v>17384</v>
      </c>
      <c r="V475" s="115">
        <v>1918.745255</v>
      </c>
      <c r="W475" s="115">
        <f t="shared" si="98"/>
        <v>33355467.51292</v>
      </c>
      <c r="X475" s="261" t="s">
        <v>743</v>
      </c>
      <c r="Y475" t="s">
        <v>25</v>
      </c>
      <c r="Z475" t="s">
        <v>25</v>
      </c>
      <c r="AH475" s="20">
        <v>202</v>
      </c>
      <c r="AI475" s="20" t="s">
        <v>6412</v>
      </c>
      <c r="AJ475" s="115">
        <v>30000000</v>
      </c>
      <c r="AK475" s="20">
        <v>2</v>
      </c>
      <c r="AL475" s="20">
        <f t="shared" si="117"/>
        <v>142</v>
      </c>
      <c r="AM475" s="20">
        <f t="shared" si="118"/>
        <v>4260000000</v>
      </c>
      <c r="AN475" s="20" t="s">
        <v>6413</v>
      </c>
    </row>
    <row r="476" spans="17:45">
      <c r="Q476" s="97" t="s">
        <v>5676</v>
      </c>
      <c r="R476" s="93">
        <v>21697868.203256</v>
      </c>
      <c r="T476" s="19" t="s">
        <v>5879</v>
      </c>
      <c r="U476" s="19">
        <v>133</v>
      </c>
      <c r="V476" s="115">
        <v>1954.8389770000001</v>
      </c>
      <c r="W476" s="115">
        <f t="shared" si="98"/>
        <v>259993.58394100002</v>
      </c>
      <c r="X476" s="261" t="s">
        <v>5106</v>
      </c>
      <c r="AA476" t="s">
        <v>25</v>
      </c>
      <c r="AH476" s="147">
        <v>203</v>
      </c>
      <c r="AI476" s="147" t="s">
        <v>6417</v>
      </c>
      <c r="AJ476" s="186">
        <v>20000000</v>
      </c>
      <c r="AK476" s="147">
        <v>29</v>
      </c>
      <c r="AL476" s="147">
        <f t="shared" si="117"/>
        <v>140</v>
      </c>
      <c r="AM476" s="147">
        <f t="shared" si="118"/>
        <v>2800000000</v>
      </c>
      <c r="AN476" s="147" t="s">
        <v>6418</v>
      </c>
    </row>
    <row r="477" spans="17:45">
      <c r="Q477" s="97" t="s">
        <v>5677</v>
      </c>
      <c r="R477" s="93">
        <v>25340079.252110001</v>
      </c>
      <c r="T477" s="19" t="s">
        <v>5881</v>
      </c>
      <c r="U477" s="19">
        <v>140</v>
      </c>
      <c r="V477" s="115">
        <v>1928.2522289999999</v>
      </c>
      <c r="W477" s="115">
        <f t="shared" si="98"/>
        <v>269955.31205999997</v>
      </c>
      <c r="X477" s="261" t="s">
        <v>5106</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5680</v>
      </c>
      <c r="R478" s="93">
        <v>14780983.183526</v>
      </c>
      <c r="T478" s="19" t="s">
        <v>6414</v>
      </c>
      <c r="U478" s="19">
        <v>15839</v>
      </c>
      <c r="V478" s="115">
        <v>1893.9957079999999</v>
      </c>
      <c r="W478" s="115">
        <f t="shared" si="98"/>
        <v>29998998.019012</v>
      </c>
      <c r="X478" s="261" t="s">
        <v>6413</v>
      </c>
      <c r="Z478" t="s">
        <v>25</v>
      </c>
      <c r="AA478" t="s">
        <v>25</v>
      </c>
      <c r="AH478" s="147">
        <v>205</v>
      </c>
      <c r="AI478" s="147" t="s">
        <v>6454</v>
      </c>
      <c r="AJ478" s="186">
        <v>2000000</v>
      </c>
      <c r="AK478" s="147">
        <v>110</v>
      </c>
      <c r="AL478" s="147">
        <f t="shared" si="119"/>
        <v>111</v>
      </c>
      <c r="AM478" s="147">
        <f t="shared" si="120"/>
        <v>222000000</v>
      </c>
      <c r="AN478" s="147" t="s">
        <v>6456</v>
      </c>
      <c r="AS478" t="s">
        <v>25</v>
      </c>
    </row>
    <row r="479" spans="17:45">
      <c r="Q479" s="97" t="s">
        <v>5680</v>
      </c>
      <c r="R479" s="93">
        <v>17804396.448481999</v>
      </c>
      <c r="T479" s="19" t="s">
        <v>6417</v>
      </c>
      <c r="U479" s="19">
        <v>26601</v>
      </c>
      <c r="V479" s="115">
        <v>1880.082026</v>
      </c>
      <c r="W479" s="115">
        <f t="shared" si="98"/>
        <v>50012061.973626003</v>
      </c>
      <c r="X479" s="261" t="s">
        <v>5345</v>
      </c>
      <c r="AH479" s="147">
        <v>206</v>
      </c>
      <c r="AI479" s="147" t="s">
        <v>6697</v>
      </c>
      <c r="AJ479" s="186">
        <v>5082711</v>
      </c>
      <c r="AK479" s="147">
        <v>1</v>
      </c>
      <c r="AL479" s="147">
        <f t="shared" si="119"/>
        <v>1</v>
      </c>
      <c r="AM479" s="147">
        <f t="shared" si="120"/>
        <v>5082711</v>
      </c>
      <c r="AN479" s="147" t="s">
        <v>6699</v>
      </c>
    </row>
    <row r="480" spans="17:45">
      <c r="Q480" s="97" t="s">
        <v>5683</v>
      </c>
      <c r="R480" s="93">
        <v>260260000</v>
      </c>
      <c r="T480" s="187" t="s">
        <v>6417</v>
      </c>
      <c r="U480" s="187">
        <v>10637</v>
      </c>
      <c r="V480" s="186">
        <v>1880.082026</v>
      </c>
      <c r="W480" s="186">
        <f t="shared" si="98"/>
        <v>19998432.510561999</v>
      </c>
      <c r="X480" s="260" t="s">
        <v>6418</v>
      </c>
      <c r="Y480" t="s">
        <v>25</v>
      </c>
      <c r="AH480" s="147"/>
      <c r="AI480" s="147"/>
      <c r="AJ480" s="186"/>
      <c r="AK480" s="147"/>
      <c r="AL480" s="147">
        <f t="shared" si="119"/>
        <v>0</v>
      </c>
      <c r="AM480" s="147">
        <f t="shared" si="120"/>
        <v>0</v>
      </c>
      <c r="AN480" s="147"/>
    </row>
    <row r="481" spans="17:45">
      <c r="Q481" s="97" t="s">
        <v>5684</v>
      </c>
      <c r="R481" s="93">
        <v>11538335.631417999</v>
      </c>
      <c r="T481" s="19" t="s">
        <v>6423</v>
      </c>
      <c r="U481" s="19">
        <v>306</v>
      </c>
      <c r="V481" s="115">
        <v>1831.8117119999999</v>
      </c>
      <c r="W481" s="115">
        <f t="shared" si="98"/>
        <v>560534.38387200003</v>
      </c>
      <c r="X481" s="261" t="s">
        <v>5106</v>
      </c>
      <c r="Y481" t="s">
        <v>25</v>
      </c>
      <c r="AH481" s="147"/>
      <c r="AI481" s="147"/>
      <c r="AJ481" s="186"/>
      <c r="AK481" s="147"/>
      <c r="AL481" s="147">
        <f t="shared" si="119"/>
        <v>0</v>
      </c>
      <c r="AM481" s="147">
        <f t="shared" si="120"/>
        <v>0</v>
      </c>
      <c r="AN481" s="147"/>
    </row>
    <row r="482" spans="17:45">
      <c r="Q482" s="97" t="s">
        <v>5692</v>
      </c>
      <c r="R482" s="93">
        <v>12429517.767776001</v>
      </c>
      <c r="T482" s="19" t="s">
        <v>6429</v>
      </c>
      <c r="U482" s="19">
        <v>325</v>
      </c>
      <c r="V482" s="115">
        <v>1789.1845169999999</v>
      </c>
      <c r="W482" s="115">
        <f t="shared" si="98"/>
        <v>581484.96802499995</v>
      </c>
      <c r="X482" s="261" t="s">
        <v>5106</v>
      </c>
      <c r="Z482" t="s">
        <v>25</v>
      </c>
      <c r="AH482" s="147"/>
      <c r="AI482" s="147"/>
      <c r="AJ482" s="186"/>
      <c r="AK482" s="147"/>
      <c r="AL482" s="147">
        <f t="shared" si="119"/>
        <v>0</v>
      </c>
      <c r="AM482" s="147">
        <f t="shared" si="120"/>
        <v>0</v>
      </c>
      <c r="AN482" s="147"/>
    </row>
    <row r="483" spans="17:45">
      <c r="Q483" s="97" t="s">
        <v>5694</v>
      </c>
      <c r="R483" s="93">
        <v>5031176.5087869996</v>
      </c>
      <c r="T483" s="19" t="s">
        <v>6432</v>
      </c>
      <c r="U483" s="19">
        <v>1154</v>
      </c>
      <c r="V483" s="115">
        <v>1851.788857</v>
      </c>
      <c r="W483" s="115">
        <f t="shared" si="98"/>
        <v>2136964.3409779998</v>
      </c>
      <c r="X483" s="261" t="s">
        <v>5106</v>
      </c>
      <c r="Z483" t="s">
        <v>25</v>
      </c>
      <c r="AH483" s="147"/>
      <c r="AI483" s="147"/>
      <c r="AJ483" s="186"/>
      <c r="AK483" s="147"/>
      <c r="AL483" s="147">
        <f t="shared" si="119"/>
        <v>0</v>
      </c>
      <c r="AM483" s="147">
        <f t="shared" si="120"/>
        <v>0</v>
      </c>
      <c r="AN483" s="147"/>
    </row>
    <row r="484" spans="17:45" ht="30">
      <c r="Q484" s="97" t="s">
        <v>5698</v>
      </c>
      <c r="R484" s="93">
        <v>6822803.9080700008</v>
      </c>
      <c r="T484" s="19" t="s">
        <v>6432</v>
      </c>
      <c r="U484" s="19">
        <v>3240</v>
      </c>
      <c r="V484" s="115">
        <v>1851.788857</v>
      </c>
      <c r="W484" s="115">
        <f t="shared" si="98"/>
        <v>5999795.8966800002</v>
      </c>
      <c r="X484" s="261" t="s">
        <v>6434</v>
      </c>
      <c r="AA484" t="s">
        <v>25</v>
      </c>
      <c r="AH484" s="20"/>
      <c r="AI484" s="20"/>
      <c r="AJ484" s="115"/>
      <c r="AK484" s="20"/>
      <c r="AL484" s="20">
        <f t="shared" si="117"/>
        <v>0</v>
      </c>
      <c r="AM484" s="20">
        <f t="shared" si="118"/>
        <v>0</v>
      </c>
      <c r="AN484" s="20"/>
    </row>
    <row r="485" spans="17:45">
      <c r="Q485" s="97" t="s">
        <v>5707</v>
      </c>
      <c r="R485" s="93">
        <v>330889.73324399994</v>
      </c>
      <c r="T485" s="19" t="s">
        <v>6432</v>
      </c>
      <c r="U485" s="19">
        <v>-3240</v>
      </c>
      <c r="V485" s="115">
        <v>1851.788857</v>
      </c>
      <c r="W485" s="115">
        <f t="shared" si="98"/>
        <v>-5999795.8966800002</v>
      </c>
      <c r="X485" s="261" t="s">
        <v>6435</v>
      </c>
      <c r="Z485" t="s">
        <v>25</v>
      </c>
      <c r="AH485" s="20"/>
      <c r="AI485" s="20"/>
      <c r="AJ485" s="115"/>
      <c r="AK485" s="20"/>
      <c r="AL485" s="20">
        <f t="shared" si="117"/>
        <v>0</v>
      </c>
      <c r="AM485" s="20">
        <f t="shared" si="118"/>
        <v>0</v>
      </c>
      <c r="AN485" s="20"/>
    </row>
    <row r="486" spans="17:45">
      <c r="Q486" s="97" t="s">
        <v>5708</v>
      </c>
      <c r="R486" s="93">
        <v>6610318.1610199995</v>
      </c>
      <c r="T486" s="19" t="s">
        <v>6436</v>
      </c>
      <c r="U486" s="19">
        <v>330</v>
      </c>
      <c r="V486" s="115">
        <v>1799.34311</v>
      </c>
      <c r="W486" s="115">
        <f t="shared" si="98"/>
        <v>593783.22629999998</v>
      </c>
      <c r="X486" s="261" t="s">
        <v>5106</v>
      </c>
      <c r="AA486" t="s">
        <v>25</v>
      </c>
      <c r="AH486" s="20"/>
      <c r="AI486" s="20"/>
      <c r="AJ486" s="115"/>
      <c r="AK486" s="20"/>
      <c r="AL486" s="20">
        <f t="shared" si="117"/>
        <v>0</v>
      </c>
      <c r="AM486" s="20">
        <f t="shared" si="118"/>
        <v>0</v>
      </c>
      <c r="AN486" s="20"/>
    </row>
    <row r="487" spans="17:45">
      <c r="Q487" s="97" t="s">
        <v>5710</v>
      </c>
      <c r="R487" s="93">
        <v>710713.17725199996</v>
      </c>
      <c r="T487" s="19" t="s">
        <v>6440</v>
      </c>
      <c r="U487" s="19">
        <v>266</v>
      </c>
      <c r="V487" s="115">
        <v>1764.9246700000001</v>
      </c>
      <c r="W487" s="115">
        <f t="shared" si="98"/>
        <v>469469.96222000004</v>
      </c>
      <c r="X487" s="261" t="s">
        <v>5106</v>
      </c>
      <c r="Y487" t="s">
        <v>25</v>
      </c>
      <c r="AH487" s="97"/>
      <c r="AI487" s="97"/>
      <c r="AJ487" s="115"/>
      <c r="AK487" s="97"/>
      <c r="AL487" s="20">
        <f t="shared" si="117"/>
        <v>0</v>
      </c>
      <c r="AM487" s="20">
        <f t="shared" si="118"/>
        <v>0</v>
      </c>
      <c r="AN487" s="20"/>
    </row>
    <row r="488" spans="17:45">
      <c r="Q488" s="97" t="s">
        <v>5713</v>
      </c>
      <c r="R488" s="93">
        <v>81025</v>
      </c>
      <c r="T488" s="187" t="s">
        <v>6454</v>
      </c>
      <c r="U488" s="187">
        <v>-10637</v>
      </c>
      <c r="V488" s="186">
        <v>1739.5916549999999</v>
      </c>
      <c r="W488" s="186">
        <f t="shared" si="98"/>
        <v>-18504036.434234999</v>
      </c>
      <c r="X488" s="260" t="s">
        <v>6457</v>
      </c>
      <c r="Y488" t="s">
        <v>25</v>
      </c>
      <c r="AA488" t="s">
        <v>25</v>
      </c>
      <c r="AH488" s="97"/>
      <c r="AI488" s="97"/>
      <c r="AJ488" s="115"/>
      <c r="AK488" s="97"/>
      <c r="AL488" s="20">
        <f t="shared" si="113"/>
        <v>0</v>
      </c>
      <c r="AM488" s="20">
        <f t="shared" si="114"/>
        <v>0</v>
      </c>
      <c r="AN488" s="97"/>
    </row>
    <row r="489" spans="17:45">
      <c r="Q489" s="97" t="s">
        <v>5714</v>
      </c>
      <c r="R489" s="93">
        <v>219696.613128</v>
      </c>
      <c r="T489" s="19" t="s">
        <v>6454</v>
      </c>
      <c r="U489" s="19">
        <v>10637</v>
      </c>
      <c r="V489" s="115">
        <v>1739.5916549999999</v>
      </c>
      <c r="W489" s="115">
        <f t="shared" si="98"/>
        <v>18504036.434234999</v>
      </c>
      <c r="X489" s="261" t="s">
        <v>6458</v>
      </c>
      <c r="AA489" t="s">
        <v>25</v>
      </c>
      <c r="AH489" s="97"/>
      <c r="AI489" s="97"/>
      <c r="AJ489" s="93">
        <f>SUM(AJ292:AJ488)</f>
        <v>206875387.84822798</v>
      </c>
      <c r="AK489" s="97"/>
      <c r="AL489" s="97"/>
      <c r="AM489" s="97">
        <f>SUM(AM292:AM488)</f>
        <v>218939463030</v>
      </c>
      <c r="AN489" s="93">
        <f>AM489*AN278/31</f>
        <v>117711742.91358097</v>
      </c>
    </row>
    <row r="490" spans="17:45" ht="30">
      <c r="Q490" s="97" t="s">
        <v>5716</v>
      </c>
      <c r="R490" s="93">
        <v>6035472.4070199998</v>
      </c>
      <c r="T490" s="19" t="s">
        <v>6483</v>
      </c>
      <c r="U490" s="19">
        <v>39478</v>
      </c>
      <c r="V490" s="115">
        <v>1873.903047</v>
      </c>
      <c r="W490" s="115">
        <f t="shared" si="98"/>
        <v>73977944.489465997</v>
      </c>
      <c r="X490" s="261" t="s">
        <v>6484</v>
      </c>
      <c r="AJ490" t="s">
        <v>4041</v>
      </c>
      <c r="AM490" t="s">
        <v>284</v>
      </c>
      <c r="AN490" t="s">
        <v>926</v>
      </c>
    </row>
    <row r="491" spans="17:45">
      <c r="Q491" s="97" t="s">
        <v>5718</v>
      </c>
      <c r="R491" s="93">
        <v>984486.34963200008</v>
      </c>
      <c r="T491" s="19" t="s">
        <v>6488</v>
      </c>
      <c r="U491" s="19">
        <v>283</v>
      </c>
      <c r="V491" s="115">
        <v>2014.7222959999999</v>
      </c>
      <c r="W491" s="115">
        <f t="shared" si="98"/>
        <v>570166.40976800001</v>
      </c>
      <c r="X491" s="261" t="s">
        <v>6489</v>
      </c>
      <c r="Y491" t="s">
        <v>25</v>
      </c>
      <c r="AA491" t="s">
        <v>25</v>
      </c>
      <c r="AS491" t="s">
        <v>25</v>
      </c>
    </row>
    <row r="492" spans="17:45">
      <c r="Q492" s="97" t="s">
        <v>5730</v>
      </c>
      <c r="R492" s="93">
        <v>2143469.938015</v>
      </c>
      <c r="T492" s="19" t="s">
        <v>6491</v>
      </c>
      <c r="U492" s="19">
        <v>1704</v>
      </c>
      <c r="V492" s="115">
        <v>2104.0605820000001</v>
      </c>
      <c r="W492" s="115">
        <f t="shared" si="98"/>
        <v>3585319.2317280001</v>
      </c>
      <c r="X492" s="261" t="s">
        <v>5106</v>
      </c>
      <c r="Z492" t="s">
        <v>25</v>
      </c>
      <c r="AA492" t="s">
        <v>25</v>
      </c>
      <c r="AI492" t="s">
        <v>4043</v>
      </c>
      <c r="AJ492" s="112">
        <f>AJ489+AN489</f>
        <v>324587130.76180893</v>
      </c>
      <c r="AM492" t="s">
        <v>25</v>
      </c>
    </row>
    <row r="493" spans="17:45">
      <c r="Q493" s="97" t="s">
        <v>5732</v>
      </c>
      <c r="R493" s="93">
        <v>3085460.5177150001</v>
      </c>
      <c r="T493" s="19" t="s">
        <v>6494</v>
      </c>
      <c r="U493" s="19">
        <v>324</v>
      </c>
      <c r="V493" s="115">
        <v>2088.5824040000002</v>
      </c>
      <c r="W493" s="115">
        <f t="shared" si="98"/>
        <v>676700.69889600005</v>
      </c>
      <c r="X493" s="261" t="s">
        <v>5106</v>
      </c>
      <c r="Y493" t="s">
        <v>25</v>
      </c>
      <c r="Z493" t="s">
        <v>25</v>
      </c>
      <c r="AA493" t="s">
        <v>25</v>
      </c>
      <c r="AI493" t="s">
        <v>4046</v>
      </c>
      <c r="AJ493" s="112">
        <f>SUM(N20:N33)</f>
        <v>4189894346</v>
      </c>
    </row>
    <row r="494" spans="17:45">
      <c r="Q494" s="97" t="s">
        <v>5734</v>
      </c>
      <c r="R494" s="93">
        <v>8261456.790906</v>
      </c>
      <c r="T494" s="19" t="s">
        <v>6503</v>
      </c>
      <c r="U494" s="19">
        <v>538</v>
      </c>
      <c r="V494" s="115">
        <v>2055.3485930000002</v>
      </c>
      <c r="W494" s="115">
        <f t="shared" si="98"/>
        <v>1105777.5430340001</v>
      </c>
      <c r="X494" s="261" t="s">
        <v>5106</v>
      </c>
      <c r="Y494" t="s">
        <v>25</v>
      </c>
      <c r="AI494" t="s">
        <v>4116</v>
      </c>
      <c r="AJ494" s="112">
        <f>AJ493-AJ489</f>
        <v>3983018958.151772</v>
      </c>
    </row>
    <row r="495" spans="17:45">
      <c r="Q495" s="97" t="s">
        <v>5738</v>
      </c>
      <c r="R495" s="93">
        <v>6572373.7593120001</v>
      </c>
      <c r="T495" s="19" t="s">
        <v>6507</v>
      </c>
      <c r="U495" s="19">
        <v>1031</v>
      </c>
      <c r="V495" s="115">
        <v>2245.620621</v>
      </c>
      <c r="W495" s="115">
        <f t="shared" si="98"/>
        <v>2315234.8602510002</v>
      </c>
      <c r="X495" s="261" t="s">
        <v>5106</v>
      </c>
      <c r="Y495" t="s">
        <v>25</v>
      </c>
      <c r="AA495" t="s">
        <v>25</v>
      </c>
      <c r="AB495" t="s">
        <v>25</v>
      </c>
      <c r="AI495" t="s">
        <v>926</v>
      </c>
      <c r="AJ495" s="112">
        <f>AN489</f>
        <v>117711742.91358097</v>
      </c>
    </row>
    <row r="496" spans="17:45">
      <c r="Q496" s="97" t="s">
        <v>5739</v>
      </c>
      <c r="R496" s="93">
        <v>2893243.5730909999</v>
      </c>
      <c r="T496" s="19" t="s">
        <v>6509</v>
      </c>
      <c r="U496" s="19">
        <v>1804</v>
      </c>
      <c r="V496" s="115">
        <v>2292.882846</v>
      </c>
      <c r="W496" s="115">
        <f t="shared" si="98"/>
        <v>4136360.6541840001</v>
      </c>
      <c r="X496" s="261" t="s">
        <v>5106</v>
      </c>
      <c r="AA496" t="s">
        <v>25</v>
      </c>
      <c r="AI496" t="s">
        <v>4047</v>
      </c>
      <c r="AJ496" s="112">
        <f>AJ494-AJ495</f>
        <v>3865307215.2381911</v>
      </c>
      <c r="AM496" t="s">
        <v>25</v>
      </c>
      <c r="AN496" t="s">
        <v>25</v>
      </c>
    </row>
    <row r="497" spans="17:40">
      <c r="Q497" s="97" t="s">
        <v>5745</v>
      </c>
      <c r="R497" s="93">
        <v>94992058.939007998</v>
      </c>
      <c r="T497" s="19" t="s">
        <v>6511</v>
      </c>
      <c r="U497" s="19">
        <v>1348</v>
      </c>
      <c r="V497" s="115">
        <v>2252.0137020000002</v>
      </c>
      <c r="W497" s="115">
        <f t="shared" si="98"/>
        <v>3035714.4702960001</v>
      </c>
      <c r="X497" s="261" t="s">
        <v>5106</v>
      </c>
      <c r="AL497" t="s">
        <v>25</v>
      </c>
      <c r="AM497" t="s">
        <v>25</v>
      </c>
      <c r="AN497" t="s">
        <v>25</v>
      </c>
    </row>
    <row r="498" spans="17:40">
      <c r="Q498" s="97" t="s">
        <v>5752</v>
      </c>
      <c r="R498" s="93">
        <v>275021.925965</v>
      </c>
      <c r="T498" s="19" t="s">
        <v>6522</v>
      </c>
      <c r="U498" s="19">
        <v>-76536</v>
      </c>
      <c r="V498" s="115">
        <v>2350.6086869999999</v>
      </c>
      <c r="W498" s="115">
        <f t="shared" si="98"/>
        <v>-179906186.46823201</v>
      </c>
      <c r="X498" s="261" t="s">
        <v>6525</v>
      </c>
    </row>
    <row r="499" spans="17:40">
      <c r="Q499" s="97" t="s">
        <v>5764</v>
      </c>
      <c r="R499" s="93">
        <v>327451.9203</v>
      </c>
      <c r="T499" s="19" t="s">
        <v>6528</v>
      </c>
      <c r="U499" s="19">
        <v>145</v>
      </c>
      <c r="V499" s="115">
        <v>2379.7882030000001</v>
      </c>
      <c r="W499" s="115">
        <f t="shared" si="98"/>
        <v>345069.28943499998</v>
      </c>
      <c r="X499" s="261" t="s">
        <v>5106</v>
      </c>
      <c r="Y499" t="s">
        <v>25</v>
      </c>
      <c r="AA499" t="s">
        <v>25</v>
      </c>
    </row>
    <row r="500" spans="17:40">
      <c r="Q500" s="97" t="s">
        <v>5773</v>
      </c>
      <c r="R500" s="93">
        <v>260081.94096800001</v>
      </c>
      <c r="T500" s="187" t="s">
        <v>6528</v>
      </c>
      <c r="U500" s="187">
        <v>55</v>
      </c>
      <c r="V500" s="186">
        <v>2379.7882030000001</v>
      </c>
      <c r="W500" s="186">
        <f t="shared" si="98"/>
        <v>130888.351165</v>
      </c>
      <c r="X500" s="260" t="s">
        <v>6615</v>
      </c>
      <c r="Z500" t="s">
        <v>25</v>
      </c>
      <c r="AN500" t="s">
        <v>25</v>
      </c>
    </row>
    <row r="501" spans="17:40">
      <c r="Q501" s="97" t="s">
        <v>5774</v>
      </c>
      <c r="R501" s="93">
        <v>2909284.5308940001</v>
      </c>
      <c r="T501" s="19" t="s">
        <v>6528</v>
      </c>
      <c r="U501" s="19">
        <v>53</v>
      </c>
      <c r="V501" s="115">
        <v>2379.7882030000001</v>
      </c>
      <c r="W501" s="115">
        <f t="shared" si="98"/>
        <v>126128.77475900001</v>
      </c>
      <c r="X501" s="261" t="s">
        <v>6616</v>
      </c>
      <c r="Z501" t="s">
        <v>25</v>
      </c>
      <c r="AB501" t="s">
        <v>25</v>
      </c>
      <c r="AN501" t="s">
        <v>25</v>
      </c>
    </row>
    <row r="502" spans="17:40">
      <c r="Q502" s="97" t="s">
        <v>5775</v>
      </c>
      <c r="R502" s="93">
        <v>37723205.094084002</v>
      </c>
      <c r="T502" s="19" t="s">
        <v>6621</v>
      </c>
      <c r="U502" s="19">
        <v>243</v>
      </c>
      <c r="V502" s="115">
        <v>2336.5653440000001</v>
      </c>
      <c r="W502" s="115">
        <f t="shared" si="98"/>
        <v>567785.37859199999</v>
      </c>
      <c r="X502" s="261" t="s">
        <v>5106</v>
      </c>
    </row>
    <row r="503" spans="17:40">
      <c r="Q503" s="97" t="s">
        <v>5776</v>
      </c>
      <c r="R503" s="93">
        <v>1500094.75168</v>
      </c>
      <c r="T503" s="19" t="s">
        <v>6633</v>
      </c>
      <c r="U503" s="19">
        <v>81</v>
      </c>
      <c r="V503" s="115">
        <v>2341.77675</v>
      </c>
      <c r="W503" s="115">
        <f t="shared" si="98"/>
        <v>189683.91675</v>
      </c>
      <c r="X503" s="261" t="s">
        <v>5106</v>
      </c>
      <c r="Y503" t="s">
        <v>25</v>
      </c>
    </row>
    <row r="504" spans="17:40">
      <c r="Q504" s="97" t="s">
        <v>5778</v>
      </c>
      <c r="R504" s="93">
        <v>7230628.4378079996</v>
      </c>
      <c r="T504" s="187" t="s">
        <v>6634</v>
      </c>
      <c r="U504" s="187">
        <v>21767</v>
      </c>
      <c r="V504" s="186">
        <v>2297.060872</v>
      </c>
      <c r="W504" s="186">
        <f t="shared" si="98"/>
        <v>50000124.000823997</v>
      </c>
      <c r="X504" s="260" t="s">
        <v>6636</v>
      </c>
      <c r="AB504" t="s">
        <v>25</v>
      </c>
    </row>
    <row r="505" spans="17:40">
      <c r="Q505" s="97" t="s">
        <v>5779</v>
      </c>
      <c r="R505" s="93">
        <v>29767389.390390001</v>
      </c>
      <c r="T505" s="19" t="s">
        <v>6634</v>
      </c>
      <c r="U505" s="19">
        <v>4353</v>
      </c>
      <c r="V505" s="115">
        <v>2297.060872</v>
      </c>
      <c r="W505" s="115">
        <f t="shared" si="98"/>
        <v>9999105.9758160003</v>
      </c>
      <c r="X505" s="261" t="s">
        <v>6637</v>
      </c>
      <c r="Z505" t="s">
        <v>25</v>
      </c>
    </row>
    <row r="506" spans="17:40">
      <c r="Q506" s="97" t="s">
        <v>5781</v>
      </c>
      <c r="R506" s="93">
        <v>151560.25597</v>
      </c>
      <c r="T506" s="19" t="s">
        <v>6634</v>
      </c>
      <c r="U506" s="19">
        <v>226</v>
      </c>
      <c r="V506" s="115">
        <v>2297.060872</v>
      </c>
      <c r="W506" s="115">
        <f t="shared" si="98"/>
        <v>519135.75707200001</v>
      </c>
      <c r="X506" s="261" t="s">
        <v>5106</v>
      </c>
      <c r="AA506" t="s">
        <v>25</v>
      </c>
      <c r="AB506" t="s">
        <v>25</v>
      </c>
    </row>
    <row r="507" spans="17:40">
      <c r="Q507" s="97" t="s">
        <v>5784</v>
      </c>
      <c r="R507" s="93">
        <v>481318.88078800001</v>
      </c>
      <c r="T507" s="19" t="s">
        <v>6641</v>
      </c>
      <c r="U507" s="19">
        <v>1416</v>
      </c>
      <c r="V507" s="115">
        <v>2405.6595360000001</v>
      </c>
      <c r="W507" s="115">
        <f t="shared" si="98"/>
        <v>3406413.9029760002</v>
      </c>
      <c r="X507" s="261" t="s">
        <v>5106</v>
      </c>
      <c r="Z507" t="s">
        <v>25</v>
      </c>
    </row>
    <row r="508" spans="17:40">
      <c r="Q508" s="97" t="s">
        <v>5796</v>
      </c>
      <c r="R508" s="93">
        <v>146277.56820000001</v>
      </c>
      <c r="T508" s="19" t="s">
        <v>6643</v>
      </c>
      <c r="U508" s="19">
        <v>172</v>
      </c>
      <c r="V508" s="115">
        <v>2529.2810939999999</v>
      </c>
      <c r="W508" s="115">
        <f t="shared" si="98"/>
        <v>435036.348168</v>
      </c>
      <c r="X508" s="261" t="s">
        <v>5106</v>
      </c>
      <c r="Z508" t="s">
        <v>25</v>
      </c>
    </row>
    <row r="509" spans="17:40">
      <c r="Q509" s="97" t="s">
        <v>5799</v>
      </c>
      <c r="R509" s="93">
        <v>424693.40162399999</v>
      </c>
      <c r="T509" s="19" t="s">
        <v>6658</v>
      </c>
      <c r="U509" s="19">
        <v>-3909</v>
      </c>
      <c r="V509" s="115">
        <v>2881.8852230000002</v>
      </c>
      <c r="W509" s="115">
        <f>U509*V509</f>
        <v>-11265289.336707002</v>
      </c>
      <c r="X509" s="261" t="s">
        <v>6659</v>
      </c>
    </row>
    <row r="510" spans="17:40">
      <c r="Q510" s="97" t="s">
        <v>5801</v>
      </c>
      <c r="R510" s="93">
        <v>558320.40202399995</v>
      </c>
      <c r="T510" s="187" t="s">
        <v>6658</v>
      </c>
      <c r="U510" s="187">
        <v>-932</v>
      </c>
      <c r="V510" s="186">
        <v>2881.8852230000002</v>
      </c>
      <c r="W510" s="186">
        <f t="shared" si="98"/>
        <v>-2685917.0278360001</v>
      </c>
      <c r="X510" s="260" t="s">
        <v>6660</v>
      </c>
      <c r="AA510" t="s">
        <v>25</v>
      </c>
    </row>
    <row r="511" spans="17:40">
      <c r="Q511" s="97" t="s">
        <v>5823</v>
      </c>
      <c r="R511" s="93">
        <v>207642.22201140001</v>
      </c>
      <c r="T511" s="19" t="s">
        <v>6671</v>
      </c>
      <c r="U511" s="19">
        <v>33</v>
      </c>
      <c r="V511" s="115">
        <v>2905.0202519999998</v>
      </c>
      <c r="W511" s="115">
        <f t="shared" si="98"/>
        <v>95865.668315999996</v>
      </c>
      <c r="X511" s="261" t="s">
        <v>4407</v>
      </c>
    </row>
    <row r="512" spans="17:40">
      <c r="Q512" s="97" t="s">
        <v>5823</v>
      </c>
      <c r="R512" s="93">
        <v>33832510.64875</v>
      </c>
      <c r="T512" s="187" t="s">
        <v>6697</v>
      </c>
      <c r="U512" s="187">
        <v>10421</v>
      </c>
      <c r="V512" s="186">
        <v>2780.2819920000002</v>
      </c>
      <c r="W512" s="186">
        <f t="shared" si="98"/>
        <v>28973318.638632003</v>
      </c>
      <c r="X512" s="260" t="s">
        <v>6700</v>
      </c>
    </row>
    <row r="513" spans="15:27">
      <c r="P513" t="s">
        <v>25</v>
      </c>
      <c r="Q513" s="97" t="s">
        <v>5838</v>
      </c>
      <c r="R513" s="93">
        <v>637977.33504399995</v>
      </c>
      <c r="T513" s="19" t="s">
        <v>6697</v>
      </c>
      <c r="U513" s="19">
        <v>835</v>
      </c>
      <c r="V513" s="115">
        <v>2780.2819920000002</v>
      </c>
      <c r="W513" s="115">
        <f t="shared" si="98"/>
        <v>2321535.4633200001</v>
      </c>
      <c r="X513" s="261" t="s">
        <v>5106</v>
      </c>
    </row>
    <row r="514" spans="15:27">
      <c r="Q514" s="97" t="s">
        <v>5839</v>
      </c>
      <c r="R514" s="93">
        <v>466552.25632400002</v>
      </c>
      <c r="T514" s="19" t="s">
        <v>7028</v>
      </c>
      <c r="U514" s="19">
        <v>410</v>
      </c>
      <c r="V514" s="115">
        <v>2678.4068379999999</v>
      </c>
      <c r="W514" s="115">
        <f t="shared" si="98"/>
        <v>1098146.8035800001</v>
      </c>
      <c r="X514" s="261" t="s">
        <v>5106</v>
      </c>
    </row>
    <row r="515" spans="15:27">
      <c r="Q515" s="97" t="s">
        <v>5840</v>
      </c>
      <c r="R515" s="93">
        <v>149316.98805000001</v>
      </c>
      <c r="T515" s="19" t="s">
        <v>7037</v>
      </c>
      <c r="U515" s="19">
        <v>201</v>
      </c>
      <c r="V515" s="115">
        <v>2688.6794049999999</v>
      </c>
      <c r="W515" s="115">
        <f t="shared" si="98"/>
        <v>540424.560405</v>
      </c>
      <c r="X515" s="261" t="s">
        <v>5106</v>
      </c>
      <c r="Z515" t="s">
        <v>25</v>
      </c>
    </row>
    <row r="516" spans="15:27">
      <c r="Q516" s="97" t="s">
        <v>5840</v>
      </c>
      <c r="R516" s="93">
        <v>189134.85153000001</v>
      </c>
      <c r="T516" s="19" t="s">
        <v>7043</v>
      </c>
      <c r="U516" s="19">
        <v>1133</v>
      </c>
      <c r="V516" s="115">
        <v>2455.1740869999999</v>
      </c>
      <c r="W516" s="115">
        <f t="shared" si="98"/>
        <v>2781712.2405709997</v>
      </c>
      <c r="X516" s="261" t="s">
        <v>5106</v>
      </c>
      <c r="Z516" t="s">
        <v>25</v>
      </c>
      <c r="AA516" t="s">
        <v>25</v>
      </c>
    </row>
    <row r="517" spans="15:27">
      <c r="Q517" s="97" t="s">
        <v>5842</v>
      </c>
      <c r="R517" s="93">
        <v>564888.82799599995</v>
      </c>
      <c r="T517" s="19"/>
      <c r="U517" s="19"/>
      <c r="V517" s="115"/>
      <c r="W517" s="115"/>
      <c r="X517" s="261"/>
      <c r="Y517" t="s">
        <v>25</v>
      </c>
      <c r="Z517" t="s">
        <v>25</v>
      </c>
    </row>
    <row r="518" spans="15:27">
      <c r="Q518" s="97" t="s">
        <v>5846</v>
      </c>
      <c r="R518" s="93">
        <v>8762299.2047910001</v>
      </c>
      <c r="T518" s="19"/>
      <c r="U518" s="19"/>
      <c r="V518" s="115"/>
      <c r="W518" s="115"/>
      <c r="X518" s="261"/>
    </row>
    <row r="519" spans="15:27">
      <c r="Q519" s="97" t="s">
        <v>5846</v>
      </c>
      <c r="R519" s="93">
        <v>-341847876.93843603</v>
      </c>
      <c r="T519" s="19"/>
      <c r="U519" s="19"/>
      <c r="V519" s="115"/>
      <c r="W519" s="115"/>
      <c r="X519" s="261"/>
    </row>
    <row r="520" spans="15:27">
      <c r="Q520" s="97" t="s">
        <v>5879</v>
      </c>
      <c r="R520" s="93">
        <v>259993.58394100002</v>
      </c>
      <c r="T520" s="19"/>
      <c r="U520" s="19"/>
      <c r="V520" s="115"/>
      <c r="W520" s="115">
        <f t="shared" si="98"/>
        <v>0</v>
      </c>
      <c r="X520" s="261"/>
    </row>
    <row r="521" spans="15:27">
      <c r="Q521" s="97" t="s">
        <v>5881</v>
      </c>
      <c r="R521" s="93">
        <v>269955.31205999997</v>
      </c>
      <c r="T521" s="19"/>
      <c r="U521" s="19"/>
      <c r="V521" s="115"/>
      <c r="W521" s="115">
        <f t="shared" si="98"/>
        <v>0</v>
      </c>
      <c r="X521" s="261"/>
    </row>
    <row r="522" spans="15:27">
      <c r="Q522" s="97" t="s">
        <v>6423</v>
      </c>
      <c r="R522" s="93">
        <v>560534.38387200003</v>
      </c>
      <c r="T522" s="97"/>
      <c r="U522" s="166"/>
      <c r="V522" s="111"/>
      <c r="W522" s="115">
        <f t="shared" si="98"/>
        <v>0</v>
      </c>
      <c r="X522" s="97"/>
    </row>
    <row r="523" spans="15:27">
      <c r="Q523" s="97" t="s">
        <v>6429</v>
      </c>
      <c r="R523" s="93">
        <v>581484.96802499995</v>
      </c>
      <c r="T523" s="166"/>
      <c r="U523" s="166">
        <f>SUM(U175:U522)</f>
        <v>4316436</v>
      </c>
      <c r="V523" s="97"/>
      <c r="W523" s="97"/>
      <c r="X523" s="97"/>
    </row>
    <row r="524" spans="15:27">
      <c r="O524" s="112"/>
      <c r="Q524" s="97" t="s">
        <v>6432</v>
      </c>
      <c r="R524" s="93">
        <v>2136964.3409779998</v>
      </c>
      <c r="T524" s="97"/>
      <c r="U524" s="97" t="s">
        <v>6</v>
      </c>
      <c r="V524" s="97"/>
      <c r="W524" s="97"/>
      <c r="X524" s="97"/>
    </row>
    <row r="525" spans="15:27">
      <c r="Q525" s="97" t="s">
        <v>6436</v>
      </c>
      <c r="R525" s="93">
        <v>593783.22629999998</v>
      </c>
      <c r="T525" s="197" t="s">
        <v>4436</v>
      </c>
      <c r="Z525" t="s">
        <v>25</v>
      </c>
    </row>
    <row r="526" spans="15:27">
      <c r="Q526" s="97" t="s">
        <v>6440</v>
      </c>
      <c r="R526" s="93">
        <v>469469.96222000004</v>
      </c>
      <c r="T526" s="196">
        <f>R191/U523</f>
        <v>2455.1738612596132</v>
      </c>
      <c r="X526" t="s">
        <v>25</v>
      </c>
    </row>
    <row r="527" spans="15:27">
      <c r="Q527" s="97" t="s">
        <v>6483</v>
      </c>
      <c r="R527" s="93">
        <v>73977944.489465997</v>
      </c>
      <c r="W527" s="112"/>
      <c r="AA527" t="s">
        <v>25</v>
      </c>
    </row>
    <row r="528" spans="15:27">
      <c r="Q528" s="97" t="s">
        <v>6488</v>
      </c>
      <c r="R528" s="93">
        <v>570166.40976800001</v>
      </c>
      <c r="U528" s="94" t="s">
        <v>267</v>
      </c>
      <c r="V528" t="s">
        <v>4437</v>
      </c>
      <c r="X528" t="s">
        <v>25</v>
      </c>
    </row>
    <row r="529" spans="17:25">
      <c r="Q529" s="97" t="s">
        <v>6491</v>
      </c>
      <c r="R529" s="93">
        <v>3585319.2317280001</v>
      </c>
      <c r="T529" s="112"/>
      <c r="U529" s="93">
        <v>-2783679</v>
      </c>
      <c r="V529">
        <f>U529/T526</f>
        <v>-1133.8011714461024</v>
      </c>
      <c r="X529" t="s">
        <v>25</v>
      </c>
      <c r="Y529" t="s">
        <v>25</v>
      </c>
    </row>
    <row r="530" spans="17:25">
      <c r="Q530" s="97" t="s">
        <v>6494</v>
      </c>
      <c r="R530" s="93">
        <v>676700.69889600005</v>
      </c>
      <c r="T530" t="s">
        <v>25</v>
      </c>
      <c r="X530" t="s">
        <v>25</v>
      </c>
    </row>
    <row r="531" spans="17:25">
      <c r="Q531" s="97" t="s">
        <v>6503</v>
      </c>
      <c r="R531" s="93">
        <v>1105777.5430340001</v>
      </c>
      <c r="T531" t="s">
        <v>25</v>
      </c>
      <c r="U531" s="94" t="s">
        <v>25</v>
      </c>
      <c r="V531" s="22"/>
      <c r="W531" s="213"/>
      <c r="X531" s="270" t="s">
        <v>25</v>
      </c>
    </row>
    <row r="532" spans="17:25">
      <c r="Q532" s="97" t="s">
        <v>6507</v>
      </c>
      <c r="R532" s="93">
        <v>2315234.8602510002</v>
      </c>
      <c r="V532" t="s">
        <v>25</v>
      </c>
      <c r="X532" t="s">
        <v>25</v>
      </c>
    </row>
    <row r="533" spans="17:25">
      <c r="Q533" s="97" t="s">
        <v>6509</v>
      </c>
      <c r="R533" s="93">
        <v>4136360.6541840001</v>
      </c>
      <c r="W533" s="112"/>
      <c r="X533" t="s">
        <v>25</v>
      </c>
    </row>
    <row r="534" spans="17:25" ht="60">
      <c r="Q534" s="97" t="s">
        <v>6511</v>
      </c>
      <c r="R534" s="93">
        <v>3035714.4702960001</v>
      </c>
      <c r="T534" s="22" t="s">
        <v>4422</v>
      </c>
      <c r="V534" s="213"/>
    </row>
    <row r="535" spans="17:25" ht="45">
      <c r="Q535" s="97" t="s">
        <v>6522</v>
      </c>
      <c r="R535" s="93">
        <v>-179906186.46823201</v>
      </c>
      <c r="T535" s="22" t="s">
        <v>4423</v>
      </c>
      <c r="W535" s="270"/>
    </row>
    <row r="536" spans="17:25">
      <c r="Q536" s="97" t="s">
        <v>6528</v>
      </c>
      <c r="R536" s="93">
        <v>345069.28943499998</v>
      </c>
    </row>
    <row r="537" spans="17:25">
      <c r="Q537" s="97" t="s">
        <v>6621</v>
      </c>
      <c r="R537" s="93">
        <v>567785.37859199999</v>
      </c>
    </row>
    <row r="538" spans="17:25">
      <c r="Q538" s="97" t="s">
        <v>6633</v>
      </c>
      <c r="R538" s="93">
        <v>189683.91675</v>
      </c>
      <c r="T538" s="97" t="s">
        <v>4438</v>
      </c>
      <c r="U538" s="97" t="s">
        <v>4417</v>
      </c>
      <c r="V538" s="97" t="s">
        <v>936</v>
      </c>
      <c r="W538" s="72" t="s">
        <v>5537</v>
      </c>
    </row>
    <row r="539" spans="17:25">
      <c r="Q539" s="97" t="s">
        <v>6634</v>
      </c>
      <c r="R539" s="93">
        <v>10000000</v>
      </c>
      <c r="T539" s="93">
        <f>S244+R312+R554</f>
        <v>2379067600.4713869</v>
      </c>
      <c r="U539" s="93">
        <f>R191</f>
        <v>10597600841</v>
      </c>
      <c r="V539" s="93">
        <f>U539-T539</f>
        <v>8218533240.5286131</v>
      </c>
    </row>
    <row r="540" spans="17:25">
      <c r="Q540" s="97" t="s">
        <v>6634</v>
      </c>
      <c r="R540" s="93">
        <v>519135.75707200001</v>
      </c>
      <c r="W540" s="94" t="s">
        <v>25</v>
      </c>
    </row>
    <row r="541" spans="17:25">
      <c r="Q541" s="97" t="s">
        <v>6641</v>
      </c>
      <c r="R541" s="93">
        <v>3406413.9029760002</v>
      </c>
    </row>
    <row r="542" spans="17:25">
      <c r="Q542" s="97" t="s">
        <v>6643</v>
      </c>
      <c r="R542" s="93">
        <v>435036.348168</v>
      </c>
      <c r="T542" s="115"/>
      <c r="V542" s="112">
        <f>(444000000+2500000)*2/3</f>
        <v>297666666.66666669</v>
      </c>
    </row>
    <row r="543" spans="17:25">
      <c r="Q543" s="97" t="s">
        <v>6697</v>
      </c>
      <c r="R543" s="93">
        <v>2321535.4633200001</v>
      </c>
    </row>
    <row r="544" spans="17:25">
      <c r="Q544" s="97" t="s">
        <v>7028</v>
      </c>
      <c r="R544" s="93">
        <v>1098146.8035800001</v>
      </c>
      <c r="T544" s="112">
        <f>W321+W322+W324+W325+W327+W328</f>
        <v>-301699041.74755996</v>
      </c>
    </row>
    <row r="545" spans="17:24">
      <c r="Q545" s="97" t="s">
        <v>7037</v>
      </c>
      <c r="R545" s="93">
        <v>540424.560405</v>
      </c>
      <c r="T545" t="s">
        <v>25</v>
      </c>
    </row>
    <row r="546" spans="17:24">
      <c r="Q546" s="97" t="s">
        <v>7043</v>
      </c>
      <c r="R546" s="93">
        <v>2781712.2405709997</v>
      </c>
      <c r="T546" s="112">
        <f>V542+T544</f>
        <v>-4032375.0808932781</v>
      </c>
    </row>
    <row r="547" spans="17:24">
      <c r="Q547" s="97"/>
      <c r="R547" s="93"/>
      <c r="T547" t="s">
        <v>25</v>
      </c>
    </row>
    <row r="548" spans="17:24">
      <c r="Q548" s="97"/>
      <c r="R548" s="93"/>
      <c r="T548" t="s">
        <v>25</v>
      </c>
      <c r="X548" s="112">
        <f>V556+V558</f>
        <v>22521440</v>
      </c>
    </row>
    <row r="549" spans="17:24">
      <c r="Q549" s="97"/>
      <c r="R549" s="93"/>
      <c r="W549" s="94" t="s">
        <v>25</v>
      </c>
    </row>
    <row r="550" spans="17:24">
      <c r="Q550" s="97"/>
      <c r="R550" s="93"/>
    </row>
    <row r="551" spans="17:24">
      <c r="Q551" s="97"/>
      <c r="R551" s="93"/>
      <c r="T551" t="s">
        <v>25</v>
      </c>
    </row>
    <row r="552" spans="17:24">
      <c r="Q552" s="97" t="s">
        <v>25</v>
      </c>
      <c r="R552" s="93"/>
      <c r="T552" s="97" t="s">
        <v>4735</v>
      </c>
      <c r="U552" s="97"/>
      <c r="V552" s="97"/>
    </row>
    <row r="553" spans="17:24">
      <c r="Q553" s="97" t="s">
        <v>25</v>
      </c>
      <c r="R553" s="97" t="s">
        <v>25</v>
      </c>
      <c r="T553" s="97" t="s">
        <v>452</v>
      </c>
      <c r="U553" s="97">
        <v>4217700</v>
      </c>
      <c r="V553" s="35">
        <f>U553*80</f>
        <v>337416000</v>
      </c>
      <c r="W553" s="94" t="s">
        <v>25</v>
      </c>
    </row>
    <row r="554" spans="17:24">
      <c r="Q554" s="97"/>
      <c r="R554" s="93">
        <f>SUM(R317:R553)</f>
        <v>2066272020.9061241</v>
      </c>
      <c r="T554" s="97" t="s">
        <v>5848</v>
      </c>
      <c r="U554" s="97">
        <v>2527652</v>
      </c>
      <c r="V554" s="49">
        <f>U554*80-50000000</f>
        <v>152212160</v>
      </c>
      <c r="X554" t="s">
        <v>25</v>
      </c>
    </row>
    <row r="555" spans="17:24">
      <c r="R555" s="97" t="s">
        <v>6</v>
      </c>
      <c r="T555" s="97" t="s">
        <v>5835</v>
      </c>
      <c r="U555" s="97">
        <v>47381</v>
      </c>
      <c r="V555" s="35">
        <f t="shared" ref="V555" si="121">U555*80</f>
        <v>3790480</v>
      </c>
    </row>
    <row r="556" spans="17:24">
      <c r="T556" s="97" t="s">
        <v>1069</v>
      </c>
      <c r="U556" s="97">
        <v>226303</v>
      </c>
      <c r="V556" s="186">
        <f>U556*80</f>
        <v>18104240</v>
      </c>
    </row>
    <row r="557" spans="17:24">
      <c r="Q557" t="s">
        <v>25</v>
      </c>
      <c r="T557" s="97" t="s">
        <v>5834</v>
      </c>
      <c r="U557" s="97">
        <v>8020</v>
      </c>
      <c r="V557" s="35">
        <f>U557*80</f>
        <v>641600</v>
      </c>
    </row>
    <row r="558" spans="17:24">
      <c r="Q558" t="s">
        <v>25</v>
      </c>
      <c r="T558" s="97" t="s">
        <v>5830</v>
      </c>
      <c r="U558" s="97">
        <v>55215</v>
      </c>
      <c r="V558" s="186">
        <f>U558*80</f>
        <v>4417200</v>
      </c>
    </row>
    <row r="559" spans="17:24">
      <c r="Q559" t="s">
        <v>25</v>
      </c>
      <c r="R559" t="s">
        <v>25</v>
      </c>
      <c r="T559" s="97" t="s">
        <v>5831</v>
      </c>
      <c r="U559" s="97">
        <v>26770</v>
      </c>
      <c r="V559" s="49">
        <f>U559*80</f>
        <v>2141600</v>
      </c>
    </row>
    <row r="560" spans="17:24">
      <c r="Q560" t="s">
        <v>25</v>
      </c>
      <c r="R560" t="s">
        <v>25</v>
      </c>
    </row>
    <row r="561" spans="17:24">
      <c r="Q561" s="112"/>
      <c r="R561" t="s">
        <v>25</v>
      </c>
    </row>
    <row r="563" spans="17:24">
      <c r="R563" t="s">
        <v>25</v>
      </c>
      <c r="X563" t="s">
        <v>25</v>
      </c>
    </row>
    <row r="564" spans="17:24">
      <c r="Q564" t="s">
        <v>25</v>
      </c>
      <c r="T564" s="97" t="s">
        <v>5519</v>
      </c>
      <c r="U564" s="97">
        <v>139096</v>
      </c>
      <c r="V564" s="167">
        <f>U564*80</f>
        <v>11127680</v>
      </c>
    </row>
    <row r="565" spans="17:24">
      <c r="T565" s="97"/>
      <c r="U565" s="97"/>
      <c r="V565" s="167"/>
    </row>
    <row r="566" spans="17:24">
      <c r="T566" s="97"/>
      <c r="U566" s="97"/>
      <c r="V566" s="167"/>
    </row>
    <row r="568" spans="17:24">
      <c r="T568" s="94"/>
      <c r="V568" s="94"/>
    </row>
    <row r="569" spans="17:24">
      <c r="T569" s="94"/>
      <c r="V569" s="94"/>
      <c r="W569" s="112"/>
    </row>
    <row r="570" spans="17:24">
      <c r="T570" s="94"/>
      <c r="V570" s="94"/>
    </row>
    <row r="571" spans="17:24">
      <c r="T571" s="94"/>
      <c r="V571" s="94"/>
    </row>
    <row r="573" spans="17:24">
      <c r="U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abSelected="1" zoomScale="80" zoomScaleNormal="80" workbookViewId="0">
      <selection activeCell="R7" sqref="R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5" si="0">C1*D1*0.99114/(F1*1.0037158)</f>
        <v>4102.0133326251707</v>
      </c>
      <c r="H1" s="389">
        <f t="shared" ref="H1:H32" si="1">C1/F1</f>
        <v>1.2452219935313142</v>
      </c>
      <c r="I1" s="390">
        <f>$R$5/$R$6</f>
        <v>1.2</v>
      </c>
      <c r="J1" s="400">
        <f t="shared" ref="J1:J32" si="2">I1/H1</f>
        <v>0.96368358913813457</v>
      </c>
      <c r="K1" s="32">
        <f t="shared" ref="K1:K33" si="3">(1/J1-1.0256)*100</f>
        <v>1.2084994609428579</v>
      </c>
      <c r="L1" s="400"/>
      <c r="M1" s="400"/>
      <c r="N1" s="400">
        <v>1</v>
      </c>
      <c r="O1" s="40"/>
      <c r="P1" s="40"/>
      <c r="Q1" s="67" t="s">
        <v>5878</v>
      </c>
      <c r="R1" s="302">
        <v>2890</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v>
      </c>
      <c r="J2" s="400">
        <f>I2/H2</f>
        <v>0.90996435766310246</v>
      </c>
      <c r="K2" s="32">
        <f t="shared" si="3"/>
        <v>7.3344141689373199</v>
      </c>
      <c r="L2" s="400" t="s">
        <v>25</v>
      </c>
      <c r="M2" s="400"/>
      <c r="N2" s="400">
        <f>H2/H1</f>
        <v>1.059034434725542</v>
      </c>
      <c r="O2" s="40"/>
      <c r="P2" s="40"/>
      <c r="Q2" s="97" t="s">
        <v>4217</v>
      </c>
      <c r="R2" s="278">
        <v>1390</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v>
      </c>
      <c r="J3" s="400">
        <f t="shared" si="2"/>
        <v>0.90153417015341708</v>
      </c>
      <c r="K3" s="32">
        <f t="shared" si="3"/>
        <v>8.3620297029702861</v>
      </c>
      <c r="L3" s="400"/>
      <c r="M3" s="400"/>
      <c r="N3" s="400">
        <f>H3/H2</f>
        <v>1.0093509350935093</v>
      </c>
      <c r="O3" s="40"/>
      <c r="P3" s="40"/>
      <c r="Q3" s="97" t="s">
        <v>5270</v>
      </c>
      <c r="R3" s="288">
        <v>1485</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17.266187050359711</v>
      </c>
      <c r="J4" s="32">
        <f t="shared" si="2"/>
        <v>1.0844653753660776</v>
      </c>
      <c r="K4" s="32">
        <f t="shared" si="3"/>
        <v>-10.348665021929826</v>
      </c>
      <c r="L4" s="32"/>
      <c r="M4" s="32"/>
      <c r="N4" s="402">
        <v>1</v>
      </c>
      <c r="O4" s="40"/>
      <c r="P4" s="191"/>
      <c r="Q4" s="97" t="s">
        <v>5815</v>
      </c>
      <c r="R4" s="346">
        <v>1320</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17.266187050359711</v>
      </c>
      <c r="J5" s="32">
        <f t="shared" si="2"/>
        <v>1.0683793237090509</v>
      </c>
      <c r="K5" s="32">
        <f t="shared" si="3"/>
        <v>-8.9602851975514763</v>
      </c>
      <c r="L5" s="32"/>
      <c r="M5" s="32"/>
      <c r="N5" s="402">
        <f>H5/H4</f>
        <v>1.0150564984739514</v>
      </c>
      <c r="O5" s="40"/>
      <c r="P5" s="191"/>
      <c r="Q5" s="97" t="s">
        <v>4359</v>
      </c>
      <c r="R5" s="277">
        <v>24000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17.266187050359711</v>
      </c>
      <c r="J6" s="32">
        <f t="shared" si="2"/>
        <v>1.0594612993041339</v>
      </c>
      <c r="K6" s="32">
        <f t="shared" si="3"/>
        <v>-8.1724088103254822</v>
      </c>
      <c r="L6" s="32"/>
      <c r="M6" s="32"/>
      <c r="N6" s="402">
        <f>H6/H5</f>
        <v>1.0084175084175087</v>
      </c>
      <c r="O6" s="40"/>
      <c r="P6" s="191"/>
      <c r="Q6" s="97" t="s">
        <v>4355</v>
      </c>
      <c r="R6" s="287">
        <v>20000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17.266187050359711</v>
      </c>
      <c r="J7" s="32">
        <f t="shared" ref="J7:J9" si="7">I7/H7</f>
        <v>1.0559137232873448</v>
      </c>
      <c r="K7" s="32">
        <f t="shared" ref="K7:K9" si="8">(1/J7-1.0256)*100</f>
        <v>-7.8552927927928007</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17.266187050359711</v>
      </c>
      <c r="J8" s="32">
        <f t="shared" si="7"/>
        <v>1.1412231188460678</v>
      </c>
      <c r="K8" s="32">
        <f t="shared" si="8"/>
        <v>-14.934715909090912</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17.266187050359711</v>
      </c>
      <c r="J9" s="32">
        <f t="shared" si="7"/>
        <v>1.0733970470480743</v>
      </c>
      <c r="K9" s="32">
        <f t="shared" si="8"/>
        <v>-9.3978282994090492</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17.266187050359711</v>
      </c>
      <c r="J10" s="32">
        <f t="shared" ref="J10" si="10">I10/H10</f>
        <v>1.0566729677397524</v>
      </c>
      <c r="K10" s="32">
        <f t="shared" ref="K10" si="11">(1/J10-1.0256)*100</f>
        <v>-7.9233403588413243</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14.388489208633093</v>
      </c>
      <c r="J11" s="400">
        <f>I11/H11</f>
        <v>1.3958802927627867</v>
      </c>
      <c r="K11" s="400">
        <f>(1/J11-1.0256)*100</f>
        <v>-30.920619088564059</v>
      </c>
      <c r="L11" s="400"/>
      <c r="M11" s="400"/>
      <c r="N11" s="400">
        <v>1</v>
      </c>
      <c r="O11" s="40"/>
      <c r="P11" s="191"/>
      <c r="Q11" s="97">
        <v>10000</v>
      </c>
      <c r="R11" s="97">
        <v>9432</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14.388489208633093</v>
      </c>
      <c r="J12" s="400">
        <f t="shared" si="2"/>
        <v>1.3840679477980955</v>
      </c>
      <c r="K12" s="400">
        <f t="shared" si="3"/>
        <v>-30.309211908931687</v>
      </c>
      <c r="L12" s="400"/>
      <c r="M12" s="400"/>
      <c r="N12" s="400">
        <f t="shared" ref="N12:N20" si="14">H12/H11</f>
        <v>1.0085345123290248</v>
      </c>
      <c r="O12" s="40"/>
      <c r="P12" s="40" t="s">
        <v>25</v>
      </c>
      <c r="Q12" s="97">
        <f>Q11*R12/R11</f>
        <v>8420.2714164546232</v>
      </c>
      <c r="R12" s="97">
        <v>7942</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14.388489208633093</v>
      </c>
      <c r="J13" s="400">
        <f t="shared" si="2"/>
        <v>1.3707362950609863</v>
      </c>
      <c r="K13" s="400">
        <f t="shared" si="3"/>
        <v>-29.606507515473034</v>
      </c>
      <c r="L13" s="400"/>
      <c r="M13" s="400"/>
      <c r="N13" s="400">
        <f t="shared" si="14"/>
        <v>1.0097259062776303</v>
      </c>
      <c r="O13" s="40"/>
      <c r="P13" s="40"/>
      <c r="Q13" s="97">
        <f>Q11-Q12</f>
        <v>1579.7285835453768</v>
      </c>
      <c r="R13" s="97">
        <f>R11-R12</f>
        <v>1490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14.388489208633093</v>
      </c>
      <c r="J14" s="400">
        <f t="shared" si="2"/>
        <v>1.3528720081930938</v>
      </c>
      <c r="K14" s="400">
        <f t="shared" si="3"/>
        <v>-28.64317757009346</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14.388489208633093</v>
      </c>
      <c r="J15" s="400">
        <f t="shared" si="2"/>
        <v>1.3639154322056577</v>
      </c>
      <c r="K15" s="400">
        <f t="shared" si="3"/>
        <v>-29.241671283471838</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14.388489208633093</v>
      </c>
      <c r="J16" s="400">
        <f t="shared" si="2"/>
        <v>1.3299861595958249</v>
      </c>
      <c r="K16" s="400">
        <f t="shared" si="3"/>
        <v>-27.371247637051045</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14.388489208633093</v>
      </c>
      <c r="J17" s="400">
        <f t="shared" si="2"/>
        <v>1.304388803367786</v>
      </c>
      <c r="K17" s="400">
        <f t="shared" si="3"/>
        <v>-25.895741811175334</v>
      </c>
      <c r="L17" s="400"/>
      <c r="M17" s="400"/>
      <c r="N17" s="400">
        <f t="shared" si="14"/>
        <v>1.019624023268177</v>
      </c>
      <c r="O17" s="40"/>
      <c r="P17" s="40"/>
      <c r="Q17" t="s">
        <v>932</v>
      </c>
      <c r="R17" s="354">
        <v>1355.8</v>
      </c>
      <c r="S17" s="354">
        <f>R17/0.99114</f>
        <v>1367.9197691547106</v>
      </c>
      <c r="T17" s="354"/>
      <c r="U17" s="354">
        <f>S17/1.0127</f>
        <v>1350.7650529818413</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14.388489208633093</v>
      </c>
      <c r="J18" s="400">
        <f t="shared" si="2"/>
        <v>1.2799537759578457</v>
      </c>
      <c r="K18" s="400">
        <f t="shared" si="3"/>
        <v>-24.432178606476938</v>
      </c>
      <c r="L18" s="400"/>
      <c r="M18" s="400"/>
      <c r="N18" s="400">
        <f t="shared" si="14"/>
        <v>1.0190905545722966</v>
      </c>
      <c r="O18" s="40"/>
      <c r="P18" s="40"/>
      <c r="Q18" t="s">
        <v>61</v>
      </c>
      <c r="R18" s="354">
        <v>13744</v>
      </c>
      <c r="S18" s="354">
        <f>R18/1.0037158</f>
        <v>13693.119108018425</v>
      </c>
      <c r="T18" s="354"/>
      <c r="U18" s="354">
        <f>S18*1.0127</f>
        <v>13867.021720690258</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14.388489208633093</v>
      </c>
      <c r="J19" s="400">
        <f t="shared" si="2"/>
        <v>1.2702678324266656</v>
      </c>
      <c r="K19" s="400">
        <f t="shared" si="3"/>
        <v>-23.836444662095989</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14.388489208633093</v>
      </c>
      <c r="J20" s="400">
        <f>I20/H20</f>
        <v>1.2468930215007015</v>
      </c>
      <c r="K20" s="400">
        <f t="shared" si="3"/>
        <v>-22.360657894736857</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14.388489208633093</v>
      </c>
      <c r="J21" s="400">
        <f t="shared" si="2"/>
        <v>1.16970957155952</v>
      </c>
      <c r="K21" s="400">
        <f t="shared" si="3"/>
        <v>-17.068693070986342</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14.388489208633093</v>
      </c>
      <c r="J22" s="400">
        <f>I22/H22</f>
        <v>1.1727263450688887</v>
      </c>
      <c r="K22" s="400">
        <f t="shared" ref="K22" si="15">(1/J22-1.0256)*100</f>
        <v>-17.288614718614724</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14.388489208633093</v>
      </c>
      <c r="J23" s="400">
        <f t="shared" ref="J23:J24" si="16">I23/H23</f>
        <v>1.1568773728450503</v>
      </c>
      <c r="K23" s="400">
        <f t="shared" ref="K23:K24" si="17">(1/J23-1.0256)*100</f>
        <v>-16.120415003990416</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14.388489208633093</v>
      </c>
      <c r="J24" s="400">
        <f t="shared" si="16"/>
        <v>1.1457949997506209</v>
      </c>
      <c r="K24" s="400">
        <f t="shared" si="17"/>
        <v>-15.284352941176472</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1" si="19">C25*D25*0.99114/(F25*1.0037158)</f>
        <v>10521.455664099438</v>
      </c>
      <c r="H25" s="396">
        <f t="shared" ref="H25:H31" si="20">C25/F25</f>
        <v>0.89771288087610823</v>
      </c>
      <c r="I25" s="397">
        <f t="shared" ref="I25:I31" si="21">$R$2/$R$3</f>
        <v>0.93602693602693599</v>
      </c>
      <c r="J25" s="400">
        <f t="shared" ref="J25:J26" si="22">I25/H25</f>
        <v>1.0426796317252747</v>
      </c>
      <c r="K25" s="400">
        <f>(1/J25-1.0256)*100</f>
        <v>-6.6532641653941909</v>
      </c>
      <c r="L25" s="400"/>
      <c r="M25" s="400"/>
      <c r="N25" s="400">
        <f>1</f>
        <v>1</v>
      </c>
      <c r="O25" s="405">
        <f t="shared" ref="O25:O27" si="23">F25-C25</f>
        <v>137.29999999999995</v>
      </c>
      <c r="P25" s="405">
        <f>R3-R2</f>
        <v>95</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0.93602693602693599</v>
      </c>
      <c r="J26" s="400">
        <f t="shared" si="22"/>
        <v>1.0330604548890263</v>
      </c>
      <c r="K26" s="400">
        <f>(1/J26-1.0256)*100</f>
        <v>-5.7602439675786261</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0.93602693602693599</v>
      </c>
      <c r="J27" s="400">
        <f t="shared" ref="J27" si="24">I27/H27</f>
        <v>1.0108111077938662</v>
      </c>
      <c r="K27" s="400">
        <f t="shared" ref="K27" si="25">(1/J27-1.0256)*100</f>
        <v>-3.6295477830137757</v>
      </c>
      <c r="L27" s="400"/>
      <c r="M27" s="400"/>
      <c r="N27" s="400">
        <f t="shared" ref="N27" si="26">H27/H26</f>
        <v>1.0220113796965686</v>
      </c>
      <c r="O27" s="405">
        <f t="shared" si="23"/>
        <v>103.79999999999995</v>
      </c>
      <c r="P27" s="40"/>
      <c r="Q27" t="s">
        <v>25</v>
      </c>
      <c r="R27" s="384"/>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0.93602693602693599</v>
      </c>
      <c r="J28" s="400">
        <f t="shared" ref="J28" si="27">I28/H28</f>
        <v>0.99310524268443168</v>
      </c>
      <c r="K28" s="400">
        <f t="shared" ref="K28" si="28">(1/J28-1.0256)*100</f>
        <v>-1.8657374969714979</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0.93602693602693599</v>
      </c>
      <c r="J29" s="400">
        <f t="shared" ref="J29" si="31">I29/H29</f>
        <v>0.99173464659703181</v>
      </c>
      <c r="K29" s="400">
        <f t="shared" ref="K29:K30" si="32">(1/J29-1.0256)*100</f>
        <v>-1.726576116773848</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7034</v>
      </c>
      <c r="B30" s="394" t="s">
        <v>4217</v>
      </c>
      <c r="C30" s="391">
        <v>1470</v>
      </c>
      <c r="D30" s="394">
        <v>100000</v>
      </c>
      <c r="E30" s="396" t="s">
        <v>5270</v>
      </c>
      <c r="F30" s="395">
        <v>1553</v>
      </c>
      <c r="G30" s="396">
        <f t="shared" si="19"/>
        <v>93469.543564806183</v>
      </c>
      <c r="H30" s="421">
        <f t="shared" si="20"/>
        <v>0.94655505473277524</v>
      </c>
      <c r="I30" s="397">
        <f t="shared" si="21"/>
        <v>0.93602693602693599</v>
      </c>
      <c r="J30" s="400">
        <f>I30/H30</f>
        <v>0.98887743649648407</v>
      </c>
      <c r="K30" s="400">
        <f t="shared" si="32"/>
        <v>-1.4352333612826396</v>
      </c>
      <c r="L30" s="400"/>
      <c r="M30" s="400"/>
      <c r="N30" s="400">
        <f t="shared" si="33"/>
        <v>1.0028893470465567</v>
      </c>
      <c r="O30" s="405">
        <f>F30-C30</f>
        <v>83</v>
      </c>
      <c r="P30" s="40"/>
      <c r="R30" s="352" t="s">
        <v>25</v>
      </c>
      <c r="S30" s="352" t="s">
        <v>25</v>
      </c>
      <c r="T30" s="353" t="s">
        <v>25</v>
      </c>
      <c r="U30" t="s">
        <v>25</v>
      </c>
      <c r="W30" s="353"/>
      <c r="Y30" s="353"/>
    </row>
    <row r="31" spans="1:26" ht="18.75">
      <c r="A31" s="404" t="s">
        <v>7043</v>
      </c>
      <c r="B31" s="394" t="s">
        <v>4217</v>
      </c>
      <c r="C31" s="391">
        <v>1367.9</v>
      </c>
      <c r="D31" s="394">
        <v>1</v>
      </c>
      <c r="E31" s="396" t="s">
        <v>5270</v>
      </c>
      <c r="F31" s="395">
        <v>1429.5</v>
      </c>
      <c r="G31" s="396">
        <f t="shared" si="19"/>
        <v>0.94491867601054269</v>
      </c>
      <c r="H31" s="421">
        <f t="shared" si="20"/>
        <v>0.95690800979363422</v>
      </c>
      <c r="I31" s="397">
        <f t="shared" si="21"/>
        <v>0.93602693602693599</v>
      </c>
      <c r="J31" s="400">
        <f t="shared" ref="J31" si="34">I31/H31</f>
        <v>0.97817859861868917</v>
      </c>
      <c r="K31" s="400">
        <f t="shared" ref="K31" si="35">(1/J31-1.0256)*100</f>
        <v>-0.32918024866570583</v>
      </c>
      <c r="L31" s="400"/>
      <c r="M31" s="400"/>
      <c r="N31" s="400">
        <f t="shared" ref="N31" si="36">H31/H30</f>
        <v>1.010937509666336</v>
      </c>
      <c r="O31" s="405">
        <f>F31-C31</f>
        <v>61.599999999999909</v>
      </c>
      <c r="P31" s="40"/>
      <c r="Q31" s="112"/>
      <c r="R31" s="352" t="s">
        <v>25</v>
      </c>
      <c r="S31" t="s">
        <v>25</v>
      </c>
      <c r="T31" s="353" t="s">
        <v>25</v>
      </c>
      <c r="W31" s="353"/>
      <c r="Y31" s="353"/>
    </row>
    <row r="32" spans="1:26">
      <c r="A32" s="389" t="s">
        <v>5784</v>
      </c>
      <c r="B32" s="389" t="s">
        <v>4355</v>
      </c>
      <c r="C32" s="388">
        <v>11624</v>
      </c>
      <c r="D32" s="389">
        <v>8930</v>
      </c>
      <c r="E32" s="396" t="s">
        <v>6639</v>
      </c>
      <c r="F32" s="395">
        <v>1266.3</v>
      </c>
      <c r="G32" s="396">
        <f t="shared" si="0"/>
        <v>80945.870190320566</v>
      </c>
      <c r="H32" s="396">
        <f t="shared" si="1"/>
        <v>9.1794993287530602</v>
      </c>
      <c r="I32" s="396">
        <f>$R$6/$R$3</f>
        <v>13.468013468013469</v>
      </c>
      <c r="J32" s="32">
        <f t="shared" si="2"/>
        <v>1.4671838828755555</v>
      </c>
      <c r="K32" s="32">
        <f t="shared" si="3"/>
        <v>-34.402217484008546</v>
      </c>
      <c r="L32" s="32"/>
      <c r="M32" s="32"/>
      <c r="N32" s="400">
        <v>1</v>
      </c>
      <c r="O32" s="40"/>
      <c r="P32" s="405" t="s">
        <v>25</v>
      </c>
      <c r="Q32" t="s">
        <v>25</v>
      </c>
      <c r="R32" s="352" t="s">
        <v>25</v>
      </c>
      <c r="S32" t="s">
        <v>25</v>
      </c>
      <c r="T32" s="353"/>
      <c r="U32" t="s">
        <v>25</v>
      </c>
      <c r="V32" t="s">
        <v>25</v>
      </c>
      <c r="W32" s="353"/>
      <c r="Y32" s="353"/>
    </row>
    <row r="33" spans="1:25" ht="21">
      <c r="A33" s="389" t="s">
        <v>5785</v>
      </c>
      <c r="B33" s="389" t="s">
        <v>4355</v>
      </c>
      <c r="C33" s="388">
        <v>11612</v>
      </c>
      <c r="D33" s="389">
        <v>352</v>
      </c>
      <c r="E33" s="396" t="s">
        <v>6639</v>
      </c>
      <c r="F33" s="395">
        <v>1250.3</v>
      </c>
      <c r="G33" s="396">
        <f t="shared" si="0"/>
        <v>3228.1945677388489</v>
      </c>
      <c r="H33" s="396">
        <f t="shared" ref="H33:H36" si="37">C33/F33</f>
        <v>9.2873710309525723</v>
      </c>
      <c r="I33" s="396">
        <f>$R$6/$R$3</f>
        <v>13.468013468013469</v>
      </c>
      <c r="J33" s="32">
        <f t="shared" ref="J33:J36" si="38">I33/H33</f>
        <v>1.4501427177968687</v>
      </c>
      <c r="K33" s="406">
        <f t="shared" si="3"/>
        <v>-33.601270095177163</v>
      </c>
      <c r="L33" s="32" t="s">
        <v>25</v>
      </c>
      <c r="M33" s="32" t="s">
        <v>25</v>
      </c>
      <c r="N33" s="32">
        <f>H33/H32</f>
        <v>1.0117513709992465</v>
      </c>
      <c r="O33" s="40"/>
      <c r="P33" s="40" t="s">
        <v>25</v>
      </c>
      <c r="Q33" t="s">
        <v>25</v>
      </c>
      <c r="R33" s="422"/>
      <c r="S33" t="s">
        <v>25</v>
      </c>
      <c r="T33" s="353"/>
      <c r="W33" s="353"/>
      <c r="Y33" s="353"/>
    </row>
    <row r="34" spans="1:25" ht="21">
      <c r="A34" s="407" t="s">
        <v>6676</v>
      </c>
      <c r="B34" s="407" t="s">
        <v>5878</v>
      </c>
      <c r="C34" s="398">
        <v>3112</v>
      </c>
      <c r="D34" s="407">
        <v>200</v>
      </c>
      <c r="E34" s="394" t="s">
        <v>4217</v>
      </c>
      <c r="F34" s="394">
        <v>1613</v>
      </c>
      <c r="G34" s="394">
        <f t="shared" si="0"/>
        <v>381.03025333950779</v>
      </c>
      <c r="H34" s="394">
        <f>C34/F34</f>
        <v>1.9293242405455673</v>
      </c>
      <c r="I34" s="394">
        <f>$R$1/$R$2</f>
        <v>2.079136690647482</v>
      </c>
      <c r="J34" s="32">
        <f>I34/H34</f>
        <v>1.0776502191562944</v>
      </c>
      <c r="K34" s="406">
        <f>(1/J34-1.0256)*100</f>
        <v>-9.7655123059398505</v>
      </c>
      <c r="L34" s="32" t="s">
        <v>25</v>
      </c>
      <c r="M34" s="32" t="s">
        <v>25</v>
      </c>
      <c r="N34" s="32">
        <v>1</v>
      </c>
      <c r="O34" s="40"/>
      <c r="P34" s="40"/>
      <c r="Q34" t="s">
        <v>25</v>
      </c>
      <c r="R34" s="352" t="s">
        <v>25</v>
      </c>
      <c r="T34" s="353" t="s">
        <v>25</v>
      </c>
      <c r="W34" s="353"/>
      <c r="Y34" s="353"/>
    </row>
    <row r="35" spans="1:25" ht="21">
      <c r="A35" s="407" t="s">
        <v>6676</v>
      </c>
      <c r="B35" s="407" t="s">
        <v>5878</v>
      </c>
      <c r="C35" s="398">
        <v>3178</v>
      </c>
      <c r="D35" s="407">
        <v>6860</v>
      </c>
      <c r="E35" s="396" t="s">
        <v>5270</v>
      </c>
      <c r="F35" s="396">
        <v>1704.9</v>
      </c>
      <c r="G35" s="396">
        <f t="shared" si="0"/>
        <v>12627.091883862513</v>
      </c>
      <c r="H35" s="396">
        <f>C35/F35</f>
        <v>1.864038946565781</v>
      </c>
      <c r="I35" s="396">
        <f>$R$1/$R$3</f>
        <v>1.9461279461279462</v>
      </c>
      <c r="J35" s="32">
        <f>I35/H35</f>
        <v>1.0440382427166568</v>
      </c>
      <c r="K35" s="406">
        <f>(1/J35-1.0256)*100</f>
        <v>-6.778067970581847</v>
      </c>
      <c r="L35" s="32" t="s">
        <v>25</v>
      </c>
      <c r="M35" s="32" t="s">
        <v>25</v>
      </c>
      <c r="N35" s="32">
        <v>1</v>
      </c>
      <c r="O35" s="40"/>
      <c r="P35" s="40"/>
      <c r="Q35" t="s">
        <v>25</v>
      </c>
      <c r="R35" s="352" t="s">
        <v>25</v>
      </c>
      <c r="S35" t="s">
        <v>25</v>
      </c>
      <c r="T35" s="353" t="s">
        <v>25</v>
      </c>
      <c r="W35" s="353"/>
      <c r="Y35" s="353"/>
    </row>
    <row r="36" spans="1:25">
      <c r="A36" s="394" t="s">
        <v>6693</v>
      </c>
      <c r="B36" s="394" t="s">
        <v>4217</v>
      </c>
      <c r="C36" s="391">
        <v>1595.2</v>
      </c>
      <c r="D36" s="394">
        <v>1</v>
      </c>
      <c r="E36" s="408" t="s">
        <v>5815</v>
      </c>
      <c r="F36" s="408">
        <v>1428.4</v>
      </c>
      <c r="G36" s="408">
        <f>C36*D36*0.99114/(F36*1.0037158)</f>
        <v>1.1027816789647182</v>
      </c>
      <c r="H36" s="408">
        <f t="shared" si="37"/>
        <v>1.1167740128815458</v>
      </c>
      <c r="I36" s="408">
        <f>$R$2/$R$4</f>
        <v>1.053030303030303</v>
      </c>
      <c r="J36" s="32">
        <f t="shared" si="38"/>
        <v>0.94292156773350355</v>
      </c>
      <c r="K36" s="32">
        <f>(1/J36-1.0256)*100</f>
        <v>3.4933594966647608</v>
      </c>
      <c r="L36" s="32"/>
      <c r="M36" s="32"/>
      <c r="N36" s="32">
        <v>1</v>
      </c>
      <c r="O36" s="405">
        <f>F36-C36</f>
        <v>-166.79999999999995</v>
      </c>
      <c r="P36" s="405">
        <f>R4-R2</f>
        <v>-70</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6532</v>
      </c>
      <c r="E40" s="97"/>
      <c r="F40" s="97" t="s">
        <v>933</v>
      </c>
      <c r="G40" s="97" t="s">
        <v>6533</v>
      </c>
      <c r="H40" s="97"/>
      <c r="I40" s="97"/>
      <c r="J40" s="97"/>
      <c r="K40" s="97"/>
      <c r="L40" s="97" t="s">
        <v>936</v>
      </c>
      <c r="M40" s="97" t="s">
        <v>5</v>
      </c>
      <c r="N40" s="97" t="s">
        <v>6534</v>
      </c>
      <c r="P40" t="s">
        <v>6535</v>
      </c>
    </row>
    <row r="41" spans="1:25" ht="67.5" customHeight="1">
      <c r="A41" s="97" t="s">
        <v>5509</v>
      </c>
      <c r="B41" s="97" t="s">
        <v>6531</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6610</v>
      </c>
      <c r="C42" s="271">
        <v>21532</v>
      </c>
      <c r="D42" s="271">
        <v>1859</v>
      </c>
      <c r="E42" s="273" t="s">
        <v>6538</v>
      </c>
      <c r="F42" s="273">
        <v>1187</v>
      </c>
      <c r="G42" s="273">
        <f t="shared" ref="G42:G48" si="39">C42*D42*0.99114/(F42*1.0037158)</f>
        <v>33299.467209851166</v>
      </c>
      <c r="H42" s="273">
        <f t="shared" ref="H42:H48" si="40">C42/F42</f>
        <v>18.139848357203032</v>
      </c>
      <c r="I42" s="273">
        <f t="shared" ref="I42:I47" si="41">$R$5/$R$2</f>
        <v>17.266187050359711</v>
      </c>
      <c r="J42" s="97">
        <f t="shared" ref="J42:J48" si="42">I42/H42</f>
        <v>0.95183745257184549</v>
      </c>
      <c r="K42" s="97">
        <f t="shared" ref="K42:K48" si="43">(1/J42-1.0256)*100</f>
        <v>2.4999550688008965</v>
      </c>
      <c r="L42" s="93">
        <v>1600000</v>
      </c>
      <c r="M42" s="93">
        <f t="shared" ref="M42:M51" si="44">L42/2</f>
        <v>800000</v>
      </c>
      <c r="N42" s="97" t="s">
        <v>6528</v>
      </c>
    </row>
    <row r="43" spans="1:25">
      <c r="A43" s="271" t="s">
        <v>5745</v>
      </c>
      <c r="B43" s="271" t="s">
        <v>6537</v>
      </c>
      <c r="C43" s="271">
        <v>22420.1</v>
      </c>
      <c r="D43" s="286">
        <v>1000</v>
      </c>
      <c r="E43" s="273" t="s">
        <v>6539</v>
      </c>
      <c r="F43" s="273">
        <v>1161</v>
      </c>
      <c r="G43" s="273">
        <f t="shared" si="39"/>
        <v>19069.072437793271</v>
      </c>
      <c r="H43" s="273">
        <f t="shared" si="40"/>
        <v>19.311024978466836</v>
      </c>
      <c r="I43" s="273">
        <f t="shared" si="41"/>
        <v>17.266187050359711</v>
      </c>
      <c r="J43" s="97">
        <f t="shared" si="42"/>
        <v>0.894110336950666</v>
      </c>
      <c r="K43" s="97">
        <f t="shared" si="43"/>
        <v>9.2830196669537735</v>
      </c>
      <c r="L43" s="93">
        <v>19462210</v>
      </c>
      <c r="M43" s="93">
        <f t="shared" si="44"/>
        <v>9731105</v>
      </c>
      <c r="N43" s="97" t="s">
        <v>6522</v>
      </c>
      <c r="U43" t="s">
        <v>25</v>
      </c>
    </row>
    <row r="44" spans="1:25" ht="33.75" customHeight="1">
      <c r="A44" s="271" t="s">
        <v>5747</v>
      </c>
      <c r="B44" s="271" t="s">
        <v>6537</v>
      </c>
      <c r="C44" s="271">
        <v>23233.1</v>
      </c>
      <c r="D44" s="286">
        <v>1000</v>
      </c>
      <c r="E44" s="273" t="s">
        <v>6539</v>
      </c>
      <c r="F44" s="273">
        <v>1152</v>
      </c>
      <c r="G44" s="273">
        <f t="shared" si="39"/>
        <v>19914.936480069027</v>
      </c>
      <c r="H44" s="273">
        <f t="shared" si="40"/>
        <v>20.167621527777776</v>
      </c>
      <c r="I44" s="273">
        <f t="shared" si="41"/>
        <v>17.266187050359711</v>
      </c>
      <c r="J44" s="97">
        <f t="shared" si="42"/>
        <v>0.85613402783160186</v>
      </c>
      <c r="K44" s="97">
        <f t="shared" si="43"/>
        <v>14.244141348379614</v>
      </c>
      <c r="L44" s="93">
        <v>0</v>
      </c>
      <c r="M44" s="93">
        <f t="shared" si="44"/>
        <v>0</v>
      </c>
      <c r="N44" s="97" t="s">
        <v>6522</v>
      </c>
    </row>
    <row r="45" spans="1:25">
      <c r="A45" s="271" t="s">
        <v>5749</v>
      </c>
      <c r="B45" s="271" t="s">
        <v>6537</v>
      </c>
      <c r="C45" s="271">
        <v>23900</v>
      </c>
      <c r="D45" s="286">
        <v>1000</v>
      </c>
      <c r="E45" s="273" t="s">
        <v>6540</v>
      </c>
      <c r="F45" s="273">
        <v>1153</v>
      </c>
      <c r="G45" s="273">
        <f t="shared" si="39"/>
        <v>20468.821398374203</v>
      </c>
      <c r="H45" s="273">
        <f t="shared" si="40"/>
        <v>20.7285342584562</v>
      </c>
      <c r="I45" s="273">
        <f t="shared" si="41"/>
        <v>17.266187050359711</v>
      </c>
      <c r="J45" s="97">
        <f t="shared" si="42"/>
        <v>0.83296709912404809</v>
      </c>
      <c r="K45" s="97">
        <f t="shared" si="43"/>
        <v>17.492760913558826</v>
      </c>
      <c r="L45" s="93">
        <v>0</v>
      </c>
      <c r="M45" s="93">
        <f t="shared" si="44"/>
        <v>0</v>
      </c>
      <c r="N45" s="97" t="s">
        <v>6522</v>
      </c>
      <c r="P45" t="s">
        <v>25</v>
      </c>
    </row>
    <row r="46" spans="1:25">
      <c r="A46" s="271" t="s">
        <v>5762</v>
      </c>
      <c r="B46" s="271" t="s">
        <v>6537</v>
      </c>
      <c r="C46" s="271">
        <v>22500</v>
      </c>
      <c r="D46" s="286">
        <v>2000</v>
      </c>
      <c r="E46" s="273" t="s">
        <v>6539</v>
      </c>
      <c r="F46" s="273">
        <v>1093</v>
      </c>
      <c r="G46" s="273">
        <f t="shared" si="39"/>
        <v>40655.246136679802</v>
      </c>
      <c r="H46" s="273">
        <f t="shared" si="40"/>
        <v>20.585544373284538</v>
      </c>
      <c r="I46" s="273">
        <f t="shared" si="41"/>
        <v>17.266187050359711</v>
      </c>
      <c r="J46" s="97">
        <f t="shared" si="42"/>
        <v>0.83875299760191846</v>
      </c>
      <c r="K46" s="97">
        <f t="shared" si="43"/>
        <v>16.664611161939604</v>
      </c>
      <c r="L46" s="93">
        <v>0</v>
      </c>
      <c r="M46" s="93">
        <f t="shared" si="44"/>
        <v>0</v>
      </c>
      <c r="N46" s="97" t="s">
        <v>6522</v>
      </c>
      <c r="R46" t="s">
        <v>25</v>
      </c>
    </row>
    <row r="47" spans="1:25">
      <c r="A47" s="271" t="s">
        <v>6503</v>
      </c>
      <c r="B47" s="271" t="s">
        <v>6536</v>
      </c>
      <c r="C47" s="271">
        <v>23706</v>
      </c>
      <c r="D47" s="286">
        <v>1000</v>
      </c>
      <c r="E47" s="273" t="s">
        <v>4217</v>
      </c>
      <c r="F47" s="273">
        <v>1155</v>
      </c>
      <c r="G47" s="273">
        <f t="shared" si="39"/>
        <v>20267.516662882761</v>
      </c>
      <c r="H47" s="273">
        <f t="shared" si="40"/>
        <v>20.524675324675325</v>
      </c>
      <c r="I47" s="273">
        <f t="shared" si="41"/>
        <v>17.266187050359711</v>
      </c>
      <c r="J47" s="97">
        <f t="shared" si="42"/>
        <v>0.84124044727771308</v>
      </c>
      <c r="K47" s="97">
        <f t="shared" si="43"/>
        <v>16.312077922077918</v>
      </c>
      <c r="L47" s="93">
        <v>0</v>
      </c>
      <c r="M47" s="93">
        <f t="shared" si="44"/>
        <v>0</v>
      </c>
      <c r="N47" s="97" t="s">
        <v>6522</v>
      </c>
    </row>
    <row r="48" spans="1:25">
      <c r="A48" s="60" t="s">
        <v>6503</v>
      </c>
      <c r="B48" s="60" t="s">
        <v>4355</v>
      </c>
      <c r="C48" s="60">
        <v>16794</v>
      </c>
      <c r="D48" s="60">
        <v>2227</v>
      </c>
      <c r="E48" s="273" t="s">
        <v>4217</v>
      </c>
      <c r="F48" s="273">
        <v>1146.6500000000001</v>
      </c>
      <c r="G48" s="273">
        <f t="shared" si="39"/>
        <v>32208.294857700886</v>
      </c>
      <c r="H48" s="273">
        <f t="shared" si="40"/>
        <v>14.646143112545239</v>
      </c>
      <c r="I48" s="273">
        <f>$R$6/$R$2</f>
        <v>14.388489208633093</v>
      </c>
      <c r="J48" s="97">
        <f t="shared" si="42"/>
        <v>0.9824080713992579</v>
      </c>
      <c r="K48" s="97">
        <f t="shared" si="43"/>
        <v>-0.769305367810591</v>
      </c>
      <c r="L48" s="93">
        <v>3219484</v>
      </c>
      <c r="M48" s="93">
        <f t="shared" si="44"/>
        <v>1609742</v>
      </c>
      <c r="N48" s="97" t="s">
        <v>6509</v>
      </c>
      <c r="P48" t="s">
        <v>25</v>
      </c>
    </row>
    <row r="49" spans="1:19">
      <c r="A49" s="20" t="s">
        <v>6617</v>
      </c>
      <c r="B49" s="20" t="s">
        <v>6618</v>
      </c>
      <c r="C49" s="20">
        <v>21350</v>
      </c>
      <c r="D49" s="20">
        <v>639</v>
      </c>
      <c r="E49" s="20" t="s">
        <v>4359</v>
      </c>
      <c r="F49" s="20">
        <v>20666.599999999999</v>
      </c>
      <c r="G49" s="20">
        <v>639</v>
      </c>
      <c r="H49" s="20"/>
      <c r="I49" s="20"/>
      <c r="J49" s="20"/>
      <c r="K49" s="20"/>
      <c r="L49" s="345">
        <v>268731</v>
      </c>
      <c r="M49" s="345">
        <f t="shared" si="44"/>
        <v>134365.5</v>
      </c>
      <c r="N49" s="20" t="s">
        <v>6617</v>
      </c>
    </row>
    <row r="50" spans="1:19">
      <c r="A50" s="97" t="s">
        <v>6628</v>
      </c>
      <c r="B50" s="97" t="s">
        <v>6630</v>
      </c>
      <c r="C50" s="97">
        <v>1286.5</v>
      </c>
      <c r="D50" s="97">
        <v>12000</v>
      </c>
      <c r="E50" s="97" t="s">
        <v>4217</v>
      </c>
      <c r="F50" s="97"/>
      <c r="G50" s="97"/>
      <c r="H50" s="97"/>
      <c r="I50" s="97"/>
      <c r="J50" s="97"/>
      <c r="K50" s="97"/>
      <c r="L50" s="345"/>
      <c r="M50" s="345">
        <f t="shared" si="44"/>
        <v>0</v>
      </c>
      <c r="N50" s="97"/>
      <c r="P50" t="s">
        <v>25</v>
      </c>
      <c r="Q50" t="s">
        <v>25</v>
      </c>
    </row>
    <row r="51" spans="1:19" ht="30">
      <c r="A51" s="97" t="s">
        <v>6629</v>
      </c>
      <c r="B51" s="97" t="s">
        <v>6630</v>
      </c>
      <c r="C51" s="97">
        <v>1275</v>
      </c>
      <c r="D51" s="97">
        <v>9000</v>
      </c>
      <c r="E51" s="97" t="s">
        <v>4217</v>
      </c>
      <c r="F51" s="97">
        <v>1314</v>
      </c>
      <c r="G51" s="97">
        <v>9000</v>
      </c>
      <c r="H51" s="97"/>
      <c r="I51" s="97"/>
      <c r="J51" s="97"/>
      <c r="K51" s="97"/>
      <c r="L51" s="345">
        <v>191456</v>
      </c>
      <c r="M51" s="345">
        <f t="shared" si="44"/>
        <v>95728</v>
      </c>
      <c r="N51" s="36" t="s">
        <v>6645</v>
      </c>
    </row>
    <row r="52" spans="1:19">
      <c r="A52" s="97" t="s">
        <v>6629</v>
      </c>
      <c r="B52" s="97" t="s">
        <v>6618</v>
      </c>
      <c r="C52" s="97">
        <v>19703</v>
      </c>
      <c r="D52" s="97">
        <v>210</v>
      </c>
      <c r="E52" s="97" t="s">
        <v>4359</v>
      </c>
      <c r="F52" s="97">
        <v>20548.900000000001</v>
      </c>
      <c r="G52" s="97">
        <v>210</v>
      </c>
      <c r="H52" s="97"/>
      <c r="I52" s="97"/>
      <c r="J52" s="97"/>
      <c r="K52" s="97"/>
      <c r="L52" s="345">
        <v>124637</v>
      </c>
      <c r="M52" s="345">
        <f>L52/2</f>
        <v>62318.5</v>
      </c>
      <c r="N52" s="97" t="s">
        <v>6631</v>
      </c>
    </row>
    <row r="53" spans="1:19">
      <c r="A53" s="97" t="s">
        <v>6631</v>
      </c>
      <c r="B53" s="97" t="s">
        <v>6630</v>
      </c>
      <c r="C53" s="97">
        <v>1266.5</v>
      </c>
      <c r="D53" s="97">
        <v>8000</v>
      </c>
      <c r="E53" s="97" t="s">
        <v>4217</v>
      </c>
      <c r="F53" s="97">
        <v>1301</v>
      </c>
      <c r="G53" s="97">
        <v>8000</v>
      </c>
      <c r="H53" s="97"/>
      <c r="I53" s="97"/>
      <c r="J53" s="97"/>
      <c r="K53" s="97"/>
      <c r="L53" s="345">
        <v>146805</v>
      </c>
      <c r="M53" s="345">
        <f>L53/2</f>
        <v>73402.5</v>
      </c>
      <c r="N53" s="97" t="s">
        <v>6631</v>
      </c>
      <c r="P53" t="s">
        <v>25</v>
      </c>
    </row>
    <row r="54" spans="1:19" ht="30">
      <c r="A54" s="36" t="s">
        <v>6646</v>
      </c>
      <c r="B54" s="97" t="s">
        <v>6630</v>
      </c>
      <c r="C54" s="97" t="s">
        <v>6647</v>
      </c>
      <c r="D54" s="97">
        <v>21000</v>
      </c>
      <c r="E54" s="97" t="s">
        <v>4217</v>
      </c>
      <c r="F54" s="97">
        <v>1312</v>
      </c>
      <c r="G54" s="97">
        <v>21000</v>
      </c>
      <c r="H54" s="97"/>
      <c r="I54" s="97"/>
      <c r="J54" s="97"/>
      <c r="K54" s="97"/>
      <c r="L54" s="345">
        <v>345822</v>
      </c>
      <c r="M54" s="345">
        <f>L54/2</f>
        <v>172911</v>
      </c>
      <c r="N54" s="97" t="s">
        <v>6648</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6523</v>
      </c>
      <c r="B58" s="97"/>
      <c r="C58" s="97" t="s">
        <v>920</v>
      </c>
      <c r="D58" s="97" t="s">
        <v>933</v>
      </c>
      <c r="E58" s="97" t="s">
        <v>920</v>
      </c>
      <c r="F58" s="97" t="s">
        <v>933</v>
      </c>
      <c r="G58" s="97" t="s">
        <v>936</v>
      </c>
      <c r="H58" s="97" t="s">
        <v>5</v>
      </c>
      <c r="I58" s="97" t="s">
        <v>6642</v>
      </c>
      <c r="J58" s="97"/>
      <c r="K58" s="97"/>
      <c r="L58" s="97"/>
      <c r="M58" s="97"/>
      <c r="N58" s="97"/>
    </row>
    <row r="59" spans="1:19">
      <c r="A59" s="97" t="s">
        <v>6522</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6528</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6621</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6621</v>
      </c>
      <c r="B62" s="20" t="s">
        <v>4217</v>
      </c>
      <c r="C62" s="20">
        <v>28000</v>
      </c>
      <c r="D62" s="20">
        <v>1302</v>
      </c>
      <c r="E62" s="20">
        <v>28000</v>
      </c>
      <c r="F62" s="20">
        <v>1345</v>
      </c>
      <c r="G62" s="93">
        <v>737130</v>
      </c>
      <c r="H62" s="93">
        <f>G62/2</f>
        <v>368565</v>
      </c>
      <c r="I62" s="20" t="s">
        <v>6627</v>
      </c>
      <c r="J62" s="20"/>
      <c r="K62" s="97"/>
      <c r="L62" s="97"/>
      <c r="M62" s="97"/>
      <c r="N62" s="97"/>
      <c r="P62" s="94"/>
      <c r="Q62" s="94"/>
      <c r="R62" s="94"/>
    </row>
    <row r="63" spans="1:19">
      <c r="A63" s="159" t="s">
        <v>6627</v>
      </c>
      <c r="B63" s="159" t="s">
        <v>4217</v>
      </c>
      <c r="C63" s="159">
        <v>28000</v>
      </c>
      <c r="D63" s="159">
        <v>1306.5</v>
      </c>
      <c r="E63" s="159">
        <v>28000</v>
      </c>
      <c r="F63" s="159">
        <v>1358.5</v>
      </c>
      <c r="G63" s="159">
        <v>985488</v>
      </c>
      <c r="H63" s="159">
        <f>G63/2</f>
        <v>492744</v>
      </c>
      <c r="I63" s="97" t="s">
        <v>6641</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6650</v>
      </c>
      <c r="B66" s="273" t="s">
        <v>4217</v>
      </c>
      <c r="C66" s="274">
        <v>1504</v>
      </c>
      <c r="D66" s="273">
        <v>7754</v>
      </c>
      <c r="E66" s="348" t="s">
        <v>1068</v>
      </c>
      <c r="F66" s="44">
        <v>115435.1</v>
      </c>
      <c r="G66" s="348">
        <f>C66*D66*0.99114/(F66*1.00125)</f>
        <v>100.00649900224266</v>
      </c>
      <c r="H66" s="195">
        <f>C66/F66</f>
        <v>1.3028966059716672E-2</v>
      </c>
      <c r="I66" s="349">
        <f>$R$2/$R$7</f>
        <v>1.1982758620689656E-2</v>
      </c>
      <c r="J66" s="20">
        <f>I66/H66</f>
        <v>0.91970142264306676</v>
      </c>
      <c r="K66" s="20">
        <f>(1/J66-1.015155)*100</f>
        <v>7.215439778930488</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1.1982758620689656E-2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1.1982758620689656E-2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3" t="s">
        <v>6541</v>
      </c>
      <c r="C1" s="423"/>
      <c r="D1" s="423" t="s">
        <v>6542</v>
      </c>
      <c r="E1" s="423"/>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4" t="s">
        <v>1071</v>
      </c>
      <c r="R21" s="424"/>
      <c r="S21" s="424"/>
      <c r="T21" s="424"/>
      <c r="U21" s="94"/>
      <c r="V21" s="94"/>
      <c r="W21" s="41" t="s">
        <v>4951</v>
      </c>
      <c r="X21" s="41">
        <v>9035210431</v>
      </c>
      <c r="Y21" s="41">
        <v>50</v>
      </c>
      <c r="Z21" s="41" t="s">
        <v>5213</v>
      </c>
      <c r="AA21" t="s">
        <v>4969</v>
      </c>
    </row>
    <row r="22" spans="5:35">
      <c r="O22" s="97"/>
      <c r="P22" s="97"/>
      <c r="Q22" s="424"/>
      <c r="R22" s="424"/>
      <c r="S22" s="424"/>
      <c r="T22" s="424"/>
      <c r="U22" s="94"/>
      <c r="V22" s="94"/>
      <c r="W22" s="41" t="s">
        <v>5038</v>
      </c>
      <c r="X22" s="41">
        <v>9909620343</v>
      </c>
      <c r="Y22" s="41">
        <v>200</v>
      </c>
      <c r="Z22" s="41" t="s">
        <v>5214</v>
      </c>
      <c r="AA22" t="s">
        <v>5217</v>
      </c>
      <c r="AB22" s="41" t="s">
        <v>5225</v>
      </c>
    </row>
    <row r="23" spans="5:35" ht="15.75">
      <c r="O23" s="176"/>
      <c r="P23" s="97" t="s">
        <v>4067</v>
      </c>
      <c r="Q23" s="425" t="s">
        <v>1072</v>
      </c>
      <c r="R23" s="426" t="s">
        <v>1073</v>
      </c>
      <c r="S23" s="425" t="s">
        <v>1074</v>
      </c>
      <c r="T23" s="427" t="s">
        <v>1075</v>
      </c>
      <c r="W23" s="41" t="s">
        <v>5039</v>
      </c>
      <c r="X23" s="41">
        <v>9378807702</v>
      </c>
      <c r="Y23" s="41">
        <v>0</v>
      </c>
      <c r="Z23" s="41">
        <v>0</v>
      </c>
      <c r="AD23" t="s">
        <v>25</v>
      </c>
    </row>
    <row r="24" spans="5:35">
      <c r="O24" s="97"/>
      <c r="P24" s="97"/>
      <c r="Q24" s="425"/>
      <c r="R24" s="426"/>
      <c r="S24" s="425"/>
      <c r="T24" s="427"/>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1370</v>
      </c>
      <c r="H4" s="115">
        <f>C4*G4</f>
        <v>404150000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435850061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1370</v>
      </c>
      <c r="H19" s="115">
        <f>C19*G19</f>
        <v>17722320</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319529748</v>
      </c>
    </row>
    <row r="26" spans="1:8">
      <c r="D26" t="s">
        <v>5394</v>
      </c>
      <c r="E26" s="112">
        <f>'خرید خانه'!H10+'خرید خانه'!H23-'خرید خانه'!D10-'خرید خانه'!D23</f>
        <v>453679809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2021-09-21T09:21:39Z</dcterms:modified>
</cp:coreProperties>
</file>