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5"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45" i="18" l="1"/>
  <c r="W145" i="18" s="1"/>
  <c r="K118" i="63"/>
  <c r="S145" i="18"/>
  <c r="U357" i="18"/>
  <c r="W353" i="18"/>
  <c r="G113" i="63"/>
  <c r="H113" i="63"/>
  <c r="I113" i="63"/>
  <c r="X145" i="18" l="1"/>
  <c r="D140" i="58"/>
  <c r="M191" i="18" l="1"/>
  <c r="L191" i="18"/>
  <c r="I175" i="18"/>
  <c r="G175" i="18"/>
  <c r="G88" i="63"/>
  <c r="C128" i="63"/>
  <c r="H88" i="63"/>
  <c r="I88" i="63"/>
  <c r="G112" i="63"/>
  <c r="H112" i="63"/>
  <c r="K113" i="63" s="1"/>
  <c r="I112" i="63"/>
  <c r="M190" i="18" l="1"/>
  <c r="L190" i="18"/>
  <c r="G111" i="63"/>
  <c r="H111" i="63"/>
  <c r="I111" i="63"/>
  <c r="G90" i="63"/>
  <c r="H90" i="63"/>
  <c r="I90" i="63"/>
  <c r="F91" i="63"/>
  <c r="C91" i="63"/>
  <c r="G91" i="63" l="1"/>
  <c r="I91" i="63"/>
  <c r="H91" i="63"/>
  <c r="K91" i="63" s="1"/>
  <c r="L187" i="18"/>
  <c r="M187" i="18"/>
  <c r="L188" i="18"/>
  <c r="M188" i="18"/>
  <c r="L189" i="18"/>
  <c r="M189" i="18"/>
  <c r="L194" i="18"/>
  <c r="M194" i="18"/>
  <c r="N50" i="18"/>
  <c r="K112" i="63"/>
  <c r="G110" i="63"/>
  <c r="H110" i="63"/>
  <c r="I110" i="63"/>
  <c r="P44" i="18"/>
  <c r="G87" i="63"/>
  <c r="L106" i="63" s="1"/>
  <c r="G109" i="63"/>
  <c r="H109" i="63"/>
  <c r="I109" i="63"/>
  <c r="K110" i="63" l="1"/>
  <c r="K111" i="63"/>
  <c r="O348" i="52"/>
  <c r="G132" i="18"/>
  <c r="J132" i="18" s="1"/>
  <c r="W352" i="18"/>
  <c r="AL413" i="18"/>
  <c r="AL412" i="18" s="1"/>
  <c r="AM412" i="18" l="1"/>
  <c r="AL411" i="18"/>
  <c r="AM413" i="18"/>
  <c r="G109" i="18"/>
  <c r="G108" i="18"/>
  <c r="L52" i="18"/>
  <c r="P22" i="18"/>
  <c r="N22" i="18" s="1"/>
  <c r="P29" i="18"/>
  <c r="N29" i="18" s="1"/>
  <c r="N46" i="18"/>
  <c r="J153" i="18"/>
  <c r="G152" i="18"/>
  <c r="J152" i="18" s="1"/>
  <c r="W351" i="18"/>
  <c r="K115" i="63"/>
  <c r="G108" i="63"/>
  <c r="H108" i="63"/>
  <c r="K109" i="63" s="1"/>
  <c r="I108" i="63"/>
  <c r="J347" i="52"/>
  <c r="AL410" i="18" l="1"/>
  <c r="AM411" i="18"/>
  <c r="I155" i="18"/>
  <c r="L186" i="18"/>
  <c r="M186" i="18"/>
  <c r="M185" i="18"/>
  <c r="L185" i="18"/>
  <c r="W350" i="18"/>
  <c r="AM410" i="18" l="1"/>
  <c r="AL409" i="18"/>
  <c r="H220" i="18"/>
  <c r="H221" i="18" s="1"/>
  <c r="AL408" i="18" l="1"/>
  <c r="AM409" i="18"/>
  <c r="F118" i="63"/>
  <c r="C118" i="63"/>
  <c r="W349" i="18"/>
  <c r="AM408" i="18" l="1"/>
  <c r="AL407" i="18"/>
  <c r="I118" i="63"/>
  <c r="G118" i="63"/>
  <c r="H118" i="63"/>
  <c r="P24" i="18"/>
  <c r="N24" i="18" s="1"/>
  <c r="P30" i="18"/>
  <c r="N30" i="18" s="1"/>
  <c r="N51" i="18"/>
  <c r="L118" i="63" l="1"/>
  <c r="AL406" i="18"/>
  <c r="AM407" i="18"/>
  <c r="N100" i="63"/>
  <c r="AL405" i="18" l="1"/>
  <c r="AM406" i="18"/>
  <c r="H87" i="63"/>
  <c r="L91" i="63" l="1"/>
  <c r="W348" i="18"/>
  <c r="AL230" i="18"/>
  <c r="AM230" i="18" s="1"/>
  <c r="AL231" i="18"/>
  <c r="AM231" i="18" s="1"/>
  <c r="AL232" i="18"/>
  <c r="AM232" i="18" s="1"/>
  <c r="AL233" i="18"/>
  <c r="AM233" i="18" s="1"/>
  <c r="AL234" i="18"/>
  <c r="AM234" i="18" s="1"/>
  <c r="AL235" i="18"/>
  <c r="AM235" i="18" s="1"/>
  <c r="AL236" i="18"/>
  <c r="AM236" i="18" s="1"/>
  <c r="G106" i="63" l="1"/>
  <c r="H106" i="63"/>
  <c r="I106" i="63"/>
  <c r="G116" i="63"/>
  <c r="H116" i="63"/>
  <c r="I116" i="63"/>
  <c r="G107" i="63"/>
  <c r="H107" i="63"/>
  <c r="I107" i="63"/>
  <c r="G105" i="63"/>
  <c r="H105" i="63"/>
  <c r="I105" i="63"/>
  <c r="G104" i="63"/>
  <c r="H104" i="63"/>
  <c r="I104" i="63"/>
  <c r="G103" i="63"/>
  <c r="H103" i="63"/>
  <c r="I103" i="63"/>
  <c r="G101" i="63"/>
  <c r="H101" i="63"/>
  <c r="I101" i="63"/>
  <c r="G100" i="63"/>
  <c r="H100" i="63"/>
  <c r="I100" i="63"/>
  <c r="K107" i="63" l="1"/>
  <c r="K108" i="63"/>
  <c r="M118" i="63"/>
  <c r="M119" i="63" s="1"/>
  <c r="K104" i="63"/>
  <c r="K106" i="63"/>
  <c r="K101" i="63"/>
  <c r="K105" i="63"/>
  <c r="W347" i="18"/>
  <c r="N118" i="63" l="1"/>
  <c r="N119" i="63"/>
  <c r="M120" i="63"/>
  <c r="W346" i="18"/>
  <c r="M121" i="63" l="1"/>
  <c r="N120" i="63"/>
  <c r="W345" i="18"/>
  <c r="N348" i="52"/>
  <c r="M122" i="63" l="1"/>
  <c r="N121" i="63"/>
  <c r="W344" i="18"/>
  <c r="M123" i="63" l="1"/>
  <c r="N122" i="63"/>
  <c r="N123" i="63" l="1"/>
  <c r="M124" i="63"/>
  <c r="L80" i="63"/>
  <c r="M125" i="63" l="1"/>
  <c r="N124" i="63"/>
  <c r="R188" i="18"/>
  <c r="M126" i="63" l="1"/>
  <c r="N125" i="63"/>
  <c r="O333" i="52"/>
  <c r="M127" i="63" l="1"/>
  <c r="N126" i="63"/>
  <c r="S232" i="18"/>
  <c r="M128" i="63" l="1"/>
  <c r="N127" i="63"/>
  <c r="J333" i="52"/>
  <c r="M129" i="63" l="1"/>
  <c r="N128" i="63"/>
  <c r="J332" i="52"/>
  <c r="M130" i="63" l="1"/>
  <c r="N12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P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1" i="52" l="1"/>
  <c r="P359" i="52"/>
  <c r="P357" i="52"/>
  <c r="P344" i="52"/>
  <c r="P342" i="52"/>
  <c r="P336" i="52"/>
  <c r="P368" i="52"/>
  <c r="P366" i="52"/>
  <c r="P352" i="52"/>
  <c r="P350" i="52"/>
  <c r="P347" i="52"/>
  <c r="P346" i="52"/>
  <c r="P360" i="52"/>
  <c r="P367" i="52"/>
  <c r="P358" i="52"/>
  <c r="P351" i="52"/>
  <c r="P345" i="52"/>
  <c r="P333" i="52"/>
  <c r="P353" i="52"/>
  <c r="P356" i="52"/>
  <c r="P354" i="52"/>
  <c r="P335" i="52"/>
  <c r="M131" i="63"/>
  <c r="N130" i="63"/>
  <c r="P343" i="52"/>
  <c r="P341" i="52"/>
  <c r="P340" i="52"/>
  <c r="P338" i="52"/>
  <c r="P337" i="52"/>
  <c r="P349" i="52"/>
  <c r="P363" i="52"/>
  <c r="P355" i="52"/>
  <c r="P339" i="52"/>
  <c r="P332" i="52"/>
  <c r="P334" i="52"/>
  <c r="P331" i="52"/>
  <c r="J327" i="52"/>
  <c r="O327" i="52"/>
  <c r="M132" i="63" l="1"/>
  <c r="N131" i="63"/>
  <c r="M80" i="63"/>
  <c r="M133" i="63" l="1"/>
  <c r="N133" i="63" s="1"/>
  <c r="N132" i="63"/>
  <c r="C82" i="63"/>
  <c r="C81" i="63"/>
  <c r="L14" i="60"/>
  <c r="I87" i="63" l="1"/>
  <c r="G82" i="63" l="1"/>
  <c r="H82" i="63"/>
  <c r="I82" i="63"/>
  <c r="G102" i="63"/>
  <c r="H102" i="63"/>
  <c r="I102" i="63"/>
  <c r="K102" i="63" l="1"/>
  <c r="K103" i="63"/>
  <c r="P25" i="18"/>
  <c r="N25" i="18" s="1"/>
  <c r="N47" i="18" l="1"/>
  <c r="M109" i="18" s="1"/>
  <c r="D48" i="60" l="1"/>
  <c r="F48" i="60" s="1"/>
  <c r="D47" i="60"/>
  <c r="F47" i="60" s="1"/>
  <c r="Y113" i="63" l="1"/>
  <c r="Y99" i="63"/>
  <c r="Y98" i="63"/>
  <c r="Y97" i="63"/>
  <c r="X110" i="63"/>
  <c r="Y110" i="63" s="1"/>
  <c r="I81" i="63"/>
  <c r="H81" i="63"/>
  <c r="G81" i="63"/>
  <c r="I96" i="63"/>
  <c r="H96" i="63"/>
  <c r="G96" i="63"/>
  <c r="I99" i="63"/>
  <c r="H99" i="63"/>
  <c r="G99" i="63"/>
  <c r="I97" i="63"/>
  <c r="H97" i="63"/>
  <c r="G97" i="63"/>
  <c r="I83" i="63"/>
  <c r="H83" i="63"/>
  <c r="G83" i="63"/>
  <c r="J319" i="52"/>
  <c r="I98" i="63"/>
  <c r="H98" i="63"/>
  <c r="G98" i="63"/>
  <c r="K97" i="63" l="1"/>
  <c r="K98" i="63"/>
  <c r="K99" i="63"/>
  <c r="K100" i="63"/>
  <c r="O319" i="52"/>
  <c r="AL226" i="18" l="1"/>
  <c r="AM226" i="18" s="1"/>
  <c r="AL227" i="18"/>
  <c r="AM227" i="18" s="1"/>
  <c r="AL228" i="18"/>
  <c r="AM228" i="18" s="1"/>
  <c r="AL229" i="18"/>
  <c r="AM229" i="18" s="1"/>
  <c r="G84" i="63"/>
  <c r="H84" i="63"/>
  <c r="I84" i="63"/>
  <c r="G85" i="63"/>
  <c r="H85" i="63"/>
  <c r="I85" i="63"/>
  <c r="X98" i="63" l="1"/>
  <c r="I95" i="63"/>
  <c r="G95" i="63"/>
  <c r="G94" i="63"/>
  <c r="L105" i="63" s="1"/>
  <c r="H95" i="63"/>
  <c r="K96" i="63" l="1"/>
  <c r="I94" i="63"/>
  <c r="H94" i="63"/>
  <c r="G77" i="63"/>
  <c r="G78" i="63"/>
  <c r="G79" i="63"/>
  <c r="G80" i="63"/>
  <c r="I80" i="63"/>
  <c r="H80" i="63"/>
  <c r="N49" i="18"/>
  <c r="K95" i="63" l="1"/>
  <c r="W324" i="18"/>
  <c r="G144" i="18" l="1"/>
  <c r="J144" i="18" s="1"/>
  <c r="W34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I77" i="63"/>
  <c r="W341" i="18"/>
  <c r="O305" i="52"/>
  <c r="J305" i="52"/>
  <c r="D416" i="15" l="1"/>
  <c r="F417" i="15"/>
  <c r="D415" i="15" l="1"/>
  <c r="F416" i="15"/>
  <c r="W340" i="18"/>
  <c r="W339" i="18"/>
  <c r="O302" i="52"/>
  <c r="F415" i="15" l="1"/>
  <c r="D414" i="15"/>
  <c r="G143" i="18"/>
  <c r="D413" i="15" l="1"/>
  <c r="F414" i="15"/>
  <c r="V376" i="18"/>
  <c r="D412" i="15" l="1"/>
  <c r="F413" i="15"/>
  <c r="W338" i="18"/>
  <c r="O301" i="52"/>
  <c r="J143" i="18"/>
  <c r="J148" i="18" l="1"/>
  <c r="L46" i="18" s="1"/>
  <c r="F412" i="15"/>
  <c r="D411" i="15"/>
  <c r="I148"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8" i="18"/>
  <c r="X369" i="18" s="1"/>
  <c r="X364" i="18"/>
  <c r="X365" i="18" s="1"/>
  <c r="D408" i="15" l="1"/>
  <c r="F409" i="15"/>
  <c r="X367" i="18"/>
  <c r="X366" i="18"/>
  <c r="W332" i="18"/>
  <c r="W331" i="18"/>
  <c r="W330" i="18"/>
  <c r="P28" i="18"/>
  <c r="N28" i="18" s="1"/>
  <c r="O298" i="52"/>
  <c r="D407" i="15" l="1"/>
  <c r="F408" i="15"/>
  <c r="J298" i="52"/>
  <c r="AL222" i="18"/>
  <c r="AM222" i="18" s="1"/>
  <c r="AL223" i="18"/>
  <c r="AM223" i="18" s="1"/>
  <c r="AL224" i="18"/>
  <c r="AM224" i="18" s="1"/>
  <c r="AL225" i="18"/>
  <c r="AM225" i="18" s="1"/>
  <c r="F407" i="15" l="1"/>
  <c r="D406" i="15"/>
  <c r="O297" i="52"/>
  <c r="W329" i="18"/>
  <c r="W328" i="18"/>
  <c r="W327" i="18"/>
  <c r="D405" i="15" l="1"/>
  <c r="F406" i="15"/>
  <c r="T378" i="18"/>
  <c r="T380" i="18" s="1"/>
  <c r="W326" i="18"/>
  <c r="J296" i="52"/>
  <c r="D404" i="15" l="1"/>
  <c r="F405" i="15"/>
  <c r="J295" i="52"/>
  <c r="F404" i="15" l="1"/>
  <c r="D403" i="15"/>
  <c r="W325"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62" i="18"/>
  <c r="W318" i="18"/>
  <c r="G161" i="18"/>
  <c r="J161" i="18" s="1"/>
  <c r="N45"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03" i="18"/>
  <c r="J167" i="18" l="1"/>
  <c r="J170" i="18" s="1"/>
  <c r="J166" i="18"/>
  <c r="J159" i="18"/>
  <c r="I163"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6" i="18"/>
  <c r="W295" i="18"/>
  <c r="W294" i="18"/>
  <c r="J202" i="52"/>
  <c r="D336" i="15" l="1"/>
  <c r="F337" i="15"/>
  <c r="W293" i="18"/>
  <c r="J201" i="52"/>
  <c r="W292" i="18"/>
  <c r="F336" i="15" l="1"/>
  <c r="D335" i="15"/>
  <c r="J200" i="52"/>
  <c r="D334" i="15" l="1"/>
  <c r="F335" i="15"/>
  <c r="W291" i="18"/>
  <c r="W290" i="18"/>
  <c r="AL221" i="18"/>
  <c r="AM221" i="18" s="1"/>
  <c r="F334" i="15" l="1"/>
  <c r="D333" i="15"/>
  <c r="W28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8" i="18"/>
  <c r="AM217" i="18" l="1"/>
  <c r="AL216" i="18"/>
  <c r="F330" i="15"/>
  <c r="D329" i="15"/>
  <c r="AM216" i="18" l="1"/>
  <c r="AL215" i="18"/>
  <c r="D328" i="15"/>
  <c r="F329" i="15"/>
  <c r="W287" i="18"/>
  <c r="AL214" i="18" l="1"/>
  <c r="AM215" i="18"/>
  <c r="D327" i="15"/>
  <c r="F328" i="15"/>
  <c r="W286" i="18"/>
  <c r="AM214" i="18" l="1"/>
  <c r="AL213" i="18"/>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6" i="18"/>
  <c r="AL208" i="18" l="1"/>
  <c r="AM209" i="18"/>
  <c r="F322" i="15"/>
  <c r="D321" i="15"/>
  <c r="W281" i="18"/>
  <c r="AM208" i="18" l="1"/>
  <c r="AL207" i="18"/>
  <c r="F321" i="15"/>
  <c r="D320" i="15"/>
  <c r="W280" i="18"/>
  <c r="O190" i="52"/>
  <c r="J190" i="52"/>
  <c r="AL206" i="18" l="1"/>
  <c r="AM207" i="18"/>
  <c r="F320" i="15"/>
  <c r="D319" i="15"/>
  <c r="W279" i="18"/>
  <c r="AM206" i="18" l="1"/>
  <c r="AL205" i="18"/>
  <c r="F319" i="15"/>
  <c r="D318" i="15"/>
  <c r="N55" i="18"/>
  <c r="N53"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8" i="18"/>
  <c r="G176" i="18" s="1"/>
  <c r="W274" i="18"/>
  <c r="O177" i="52"/>
  <c r="J177" i="52"/>
  <c r="M108" i="18" l="1"/>
  <c r="G177"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04" i="18" l="1"/>
  <c r="AM405" i="18"/>
  <c r="O162" i="52"/>
  <c r="J162" i="52"/>
  <c r="W268"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7" i="18"/>
  <c r="AL400" i="18" l="1"/>
  <c r="AM401" i="18"/>
  <c r="W266" i="18"/>
  <c r="AM400" i="18" l="1"/>
  <c r="AL399" i="18"/>
  <c r="AL190" i="18"/>
  <c r="AL398" i="18" l="1"/>
  <c r="AM399" i="18"/>
  <c r="AL189" i="18"/>
  <c r="AM190" i="18"/>
  <c r="N159" i="52"/>
  <c r="P160" i="52" s="1"/>
  <c r="W263"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62" i="18"/>
  <c r="W261" i="18"/>
  <c r="O150" i="52"/>
  <c r="AL393" i="18" l="1"/>
  <c r="AM394" i="18"/>
  <c r="AM185" i="18"/>
  <c r="AL184" i="18"/>
  <c r="AL392" i="18" l="1"/>
  <c r="AM393"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9" i="18"/>
  <c r="AM390" i="18" l="1"/>
  <c r="AL389" i="18"/>
  <c r="AM181" i="18"/>
  <c r="AL180" i="18"/>
  <c r="G137" i="18"/>
  <c r="J137" i="18" s="1"/>
  <c r="J139" i="18" s="1"/>
  <c r="I139" i="18" s="1"/>
  <c r="G131" i="18"/>
  <c r="J131" i="18" s="1"/>
  <c r="J133" i="18" s="1"/>
  <c r="I133" i="18" s="1"/>
  <c r="W258" i="18"/>
  <c r="AL388" i="18" l="1"/>
  <c r="AM389" i="18"/>
  <c r="AM180" i="18"/>
  <c r="AL179" i="18"/>
  <c r="O142" i="52"/>
  <c r="J142" i="52"/>
  <c r="W257" i="18"/>
  <c r="AL387" i="18" l="1"/>
  <c r="AM388" i="18"/>
  <c r="AM179" i="18"/>
  <c r="AL178" i="18"/>
  <c r="AM178" i="18" s="1"/>
  <c r="O140" i="52"/>
  <c r="J140" i="52"/>
  <c r="W256" i="18"/>
  <c r="AM387" i="18" l="1"/>
  <c r="AL386" i="18"/>
  <c r="W255" i="18"/>
  <c r="W254" i="18"/>
  <c r="O139" i="52"/>
  <c r="J139" i="52"/>
  <c r="AM386" i="18" l="1"/>
  <c r="AL385" i="18"/>
  <c r="W253" i="18"/>
  <c r="AM385" i="18" l="1"/>
  <c r="AL384" i="18"/>
  <c r="AM384" i="18" l="1"/>
  <c r="AL383" i="18"/>
  <c r="M41" i="52"/>
  <c r="AM383" i="18" l="1"/>
  <c r="AL382" i="18"/>
  <c r="O135" i="52"/>
  <c r="J135" i="52"/>
  <c r="AM382" i="18" l="1"/>
  <c r="AL381" i="18"/>
  <c r="AL380" i="18" l="1"/>
  <c r="AM381" i="18"/>
  <c r="W252" i="18"/>
  <c r="AL379" i="18" l="1"/>
  <c r="AM380" i="18"/>
  <c r="O132" i="52"/>
  <c r="W251" i="18"/>
  <c r="AM379" i="18" l="1"/>
  <c r="AL378" i="18"/>
  <c r="O131" i="52"/>
  <c r="J3" i="60"/>
  <c r="J4" i="60"/>
  <c r="J5" i="60"/>
  <c r="J2" i="60"/>
  <c r="I9" i="60"/>
  <c r="I7" i="60"/>
  <c r="AL377" i="18" l="1"/>
  <c r="AM378" i="18"/>
  <c r="O130" i="52"/>
  <c r="O129" i="52"/>
  <c r="W250" i="18"/>
  <c r="W249" i="18"/>
  <c r="AL376" i="18" l="1"/>
  <c r="AM377" i="18"/>
  <c r="N129" i="52"/>
  <c r="AL375" i="18" l="1"/>
  <c r="AM376" i="18"/>
  <c r="O127" i="52"/>
  <c r="AL374" i="18" l="1"/>
  <c r="AM375" i="18"/>
  <c r="J126" i="52"/>
  <c r="O126" i="52"/>
  <c r="W248" i="18"/>
  <c r="AM374" i="18" l="1"/>
  <c r="AL373" i="18"/>
  <c r="O125" i="52"/>
  <c r="J125" i="52"/>
  <c r="AM373" i="18" l="1"/>
  <c r="AL372" i="18"/>
  <c r="W247"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5" i="18"/>
  <c r="AM369" i="18" l="1"/>
  <c r="AL368" i="18"/>
  <c r="AM368" i="18" l="1"/>
  <c r="AL367" i="18"/>
  <c r="O121" i="52"/>
  <c r="J121" i="52"/>
  <c r="W244" i="18"/>
  <c r="AL366" i="18" l="1"/>
  <c r="AM367" i="18"/>
  <c r="W243" i="18"/>
  <c r="J120" i="52"/>
  <c r="AM366" i="18" l="1"/>
  <c r="AL365" i="18"/>
  <c r="AL364" i="18" l="1"/>
  <c r="AM365" i="18"/>
  <c r="O117" i="52"/>
  <c r="AM364" i="18" l="1"/>
  <c r="AL363" i="18"/>
  <c r="O116" i="52"/>
  <c r="N116" i="52"/>
  <c r="AM363" i="18" l="1"/>
  <c r="AL362" i="18"/>
  <c r="W242"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41" i="18"/>
  <c r="J108" i="52"/>
  <c r="AM354" i="18" l="1"/>
  <c r="AL353" i="18"/>
  <c r="D303" i="15"/>
  <c r="F303" i="15" s="1"/>
  <c r="W240" i="18"/>
  <c r="W239"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8"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91" i="18"/>
  <c r="J90" i="52"/>
  <c r="J95" i="52"/>
  <c r="W236"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5" i="18"/>
  <c r="T373" i="18" s="1"/>
  <c r="W235" i="18"/>
  <c r="W234" i="18"/>
  <c r="W233" i="18"/>
  <c r="M48" i="52"/>
  <c r="M47" i="52"/>
  <c r="N38" i="52"/>
  <c r="N37" i="52"/>
  <c r="M49" i="52"/>
  <c r="N50" i="52" s="1"/>
  <c r="AL337" i="18" l="1"/>
  <c r="AM338" i="18"/>
  <c r="D287" i="15"/>
  <c r="F287" i="15" s="1"/>
  <c r="N49" i="52"/>
  <c r="W232" i="18"/>
  <c r="AM337" i="18" l="1"/>
  <c r="AL336" i="18"/>
  <c r="D286" i="15"/>
  <c r="F286" i="15" s="1"/>
  <c r="AL335" i="18" l="1"/>
  <c r="AM336" i="18"/>
  <c r="D285" i="15"/>
  <c r="F285" i="15" s="1"/>
  <c r="W231"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33" i="18" l="1"/>
  <c r="AL332" i="18"/>
  <c r="D282" i="15"/>
  <c r="F282" i="15" s="1"/>
  <c r="G32" i="57"/>
  <c r="H32" i="57"/>
  <c r="D32" i="57"/>
  <c r="I32" i="57" s="1"/>
  <c r="D345" i="20"/>
  <c r="W229" i="18"/>
  <c r="W228"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7" i="18"/>
  <c r="D343" i="20"/>
  <c r="AL328" i="18" l="1"/>
  <c r="AM329" i="18"/>
  <c r="D278" i="15"/>
  <c r="F278" i="15" s="1"/>
  <c r="W226" i="18"/>
  <c r="D342" i="20"/>
  <c r="J83" i="52"/>
  <c r="O83" i="52"/>
  <c r="W225" i="18"/>
  <c r="W224" i="18"/>
  <c r="F44" i="14"/>
  <c r="F45" i="14"/>
  <c r="F46" i="14"/>
  <c r="F47" i="14"/>
  <c r="F48" i="14"/>
  <c r="F49" i="14"/>
  <c r="F50" i="14"/>
  <c r="D341" i="20"/>
  <c r="AL327" i="18" l="1"/>
  <c r="AM328" i="18"/>
  <c r="D277" i="15"/>
  <c r="F277" i="15" s="1"/>
  <c r="AJ414" i="18"/>
  <c r="AM327" i="18" l="1"/>
  <c r="AL326" i="18"/>
  <c r="D276" i="15"/>
  <c r="F276" i="15" s="1"/>
  <c r="W223" i="18"/>
  <c r="AL325" i="18" l="1"/>
  <c r="AM326" i="18"/>
  <c r="D340" i="20"/>
  <c r="W222" i="18"/>
  <c r="H337" i="20"/>
  <c r="H338" i="20"/>
  <c r="H339" i="20"/>
  <c r="H340" i="20"/>
  <c r="H341" i="20"/>
  <c r="H368" i="20"/>
  <c r="H369" i="20"/>
  <c r="D339" i="20"/>
  <c r="AL324" i="18" l="1"/>
  <c r="AM325" i="18"/>
  <c r="B371" i="20"/>
  <c r="D332" i="20"/>
  <c r="D333" i="20"/>
  <c r="D334" i="20"/>
  <c r="D335" i="20"/>
  <c r="D336" i="20"/>
  <c r="D337" i="20"/>
  <c r="D338" i="20"/>
  <c r="D369" i="20"/>
  <c r="AL323" i="18" l="1"/>
  <c r="AM324" i="18"/>
  <c r="W221" i="18"/>
  <c r="D80" i="57"/>
  <c r="AL322" i="18" l="1"/>
  <c r="AM323" i="18"/>
  <c r="G46" i="10"/>
  <c r="AL321" i="18" l="1"/>
  <c r="AM322" i="18"/>
  <c r="D331" i="20"/>
  <c r="AL320" i="18" l="1"/>
  <c r="AM321" i="18"/>
  <c r="D330" i="20"/>
  <c r="AL319" i="18" l="1"/>
  <c r="AM320" i="18"/>
  <c r="W220" i="18"/>
  <c r="W219"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8" i="18"/>
  <c r="W217" i="18"/>
  <c r="AL307" i="18" l="1"/>
  <c r="AM308"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6" i="18"/>
  <c r="W215" i="18"/>
  <c r="L36" i="18"/>
  <c r="N36" i="52"/>
  <c r="N35" i="52"/>
  <c r="Q42" i="52"/>
  <c r="AL305" i="18" l="1"/>
  <c r="AM306" i="18"/>
  <c r="W214" i="18"/>
  <c r="W213"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12" i="18"/>
  <c r="W211" i="18"/>
  <c r="N32" i="52"/>
  <c r="N31" i="52"/>
  <c r="AL300" i="18" l="1"/>
  <c r="AM300" i="18" s="1"/>
  <c r="AM301" i="18"/>
  <c r="W210" i="18"/>
  <c r="W209" i="18"/>
  <c r="N30" i="52"/>
  <c r="N29" i="52"/>
  <c r="W208" i="18" l="1"/>
  <c r="W207" i="18"/>
  <c r="N28" i="52"/>
  <c r="N27" i="52"/>
  <c r="AL299" i="18" l="1"/>
  <c r="D313" i="20"/>
  <c r="AL298" i="18" l="1"/>
  <c r="AM299" i="18"/>
  <c r="L115" i="18"/>
  <c r="L110" i="18" l="1"/>
  <c r="N110" i="18" s="1"/>
  <c r="L112" i="18"/>
  <c r="N112" i="18" s="1"/>
  <c r="L111" i="18"/>
  <c r="N111" i="18" s="1"/>
  <c r="M115" i="18"/>
  <c r="AM298" i="18"/>
  <c r="AL297" i="18"/>
  <c r="L107" i="18"/>
  <c r="W206" i="18"/>
  <c r="W205"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4" i="18"/>
  <c r="W203" i="18"/>
  <c r="N23" i="52"/>
  <c r="N22" i="52"/>
  <c r="I368" i="20" l="1"/>
  <c r="G367" i="20"/>
  <c r="J368" i="20"/>
  <c r="K368" i="20"/>
  <c r="AL294" i="18"/>
  <c r="AM295" i="18"/>
  <c r="W202" i="18"/>
  <c r="W201"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200" i="18"/>
  <c r="W199"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8" i="18"/>
  <c r="W197" i="18"/>
  <c r="N17" i="52"/>
  <c r="N16" i="52"/>
  <c r="AL170" i="18" l="1"/>
  <c r="AM171" i="18"/>
  <c r="I356" i="20"/>
  <c r="G355" i="20"/>
  <c r="J356" i="20"/>
  <c r="K356" i="20"/>
  <c r="L108"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4" i="18"/>
  <c r="AM120" i="18" l="1"/>
  <c r="AL119" i="18"/>
  <c r="AM119" i="18" l="1"/>
  <c r="AL118" i="18"/>
  <c r="S60" i="18"/>
  <c r="S61" i="18" s="1"/>
  <c r="S62" i="18" s="1"/>
  <c r="R180" i="18"/>
  <c r="R178" i="18"/>
  <c r="D57" i="51"/>
  <c r="AL117" i="18" l="1"/>
  <c r="AM118" i="18"/>
  <c r="S63" i="18"/>
  <c r="S64" i="18" s="1"/>
  <c r="AM117" i="18" l="1"/>
  <c r="AL116" i="18"/>
  <c r="S65" i="18"/>
  <c r="S66" i="18" s="1"/>
  <c r="N31" i="18"/>
  <c r="Q83" i="18" l="1"/>
  <c r="R17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51"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6"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5" i="18"/>
  <c r="S106" i="18"/>
  <c r="S107" i="18" s="1"/>
  <c r="AJ243" i="18"/>
  <c r="AJ244" i="18" s="1"/>
  <c r="G305" i="20"/>
  <c r="I306" i="20"/>
  <c r="K306" i="20"/>
  <c r="J306" i="20"/>
  <c r="AL74" i="18"/>
  <c r="AM75" i="18"/>
  <c r="R191" i="18" l="1"/>
  <c r="T360" i="18" s="1"/>
  <c r="W160" i="18" s="1"/>
  <c r="G304" i="20"/>
  <c r="I305" i="20"/>
  <c r="K305" i="20"/>
  <c r="J305" i="20"/>
  <c r="AL73" i="18"/>
  <c r="AM74" i="18"/>
  <c r="R87" i="18"/>
  <c r="V52" i="18" l="1"/>
  <c r="V148" i="18"/>
  <c r="V150" i="18"/>
  <c r="V149" i="18"/>
  <c r="W52" i="18"/>
  <c r="X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3" i="18"/>
  <c r="W163" i="18"/>
  <c r="V73" i="18"/>
  <c r="X73" i="18" s="1"/>
  <c r="V72" i="18"/>
  <c r="W72" i="18" s="1"/>
  <c r="V82" i="18"/>
  <c r="V33" i="18"/>
  <c r="U373" i="18"/>
  <c r="V373" i="18" s="1"/>
  <c r="W162"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8" i="18" l="1"/>
  <c r="X148" i="18"/>
  <c r="W150" i="18"/>
  <c r="X150" i="18"/>
  <c r="X149" i="18"/>
  <c r="W149"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61"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9"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9" i="18"/>
  <c r="G178" i="18"/>
  <c r="I178" i="18"/>
  <c r="G179" i="18"/>
  <c r="N62" i="18"/>
  <c r="L21" i="18"/>
  <c r="W170"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S135" i="18"/>
  <c r="S136" i="18" s="1"/>
  <c r="G117" i="20"/>
  <c r="K118" i="20"/>
  <c r="J118" i="20"/>
  <c r="I118" i="20"/>
  <c r="E37" i="13"/>
  <c r="G38" i="13"/>
  <c r="F112" i="15"/>
  <c r="X134" i="18" l="1"/>
  <c r="V135" i="18"/>
  <c r="G116" i="20"/>
  <c r="K117" i="20"/>
  <c r="I117" i="20"/>
  <c r="J117" i="20"/>
  <c r="E36" i="13"/>
  <c r="G37" i="13"/>
  <c r="F111" i="15"/>
  <c r="C17" i="18"/>
  <c r="W135" i="18" l="1"/>
  <c r="X135" i="18"/>
  <c r="G115" i="20"/>
  <c r="J116" i="20"/>
  <c r="I116" i="20"/>
  <c r="K116" i="20"/>
  <c r="E35" i="13"/>
  <c r="G36" i="13"/>
  <c r="F110" i="15"/>
  <c r="C18" i="18"/>
  <c r="S137" i="18" l="1"/>
  <c r="S138" i="18" s="1"/>
  <c r="G114" i="20"/>
  <c r="K115" i="20"/>
  <c r="J115" i="20"/>
  <c r="I115" i="20"/>
  <c r="E34" i="13"/>
  <c r="G35" i="13"/>
  <c r="F109" i="15"/>
  <c r="C19" i="18"/>
  <c r="L17" i="18"/>
  <c r="L66" i="18" s="1"/>
  <c r="V137" i="18" l="1"/>
  <c r="W137" i="18" s="1"/>
  <c r="F24" i="18"/>
  <c r="G113" i="20"/>
  <c r="J114" i="20"/>
  <c r="I114" i="20"/>
  <c r="K114" i="20"/>
  <c r="L67" i="18"/>
  <c r="E33" i="13"/>
  <c r="G34" i="13"/>
  <c r="F108" i="15"/>
  <c r="C20" i="18"/>
  <c r="G20" i="14"/>
  <c r="G21" i="14"/>
  <c r="X137" i="18" l="1"/>
  <c r="G112" i="20"/>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8" i="18" l="1"/>
  <c r="W138" i="18" s="1"/>
  <c r="S139" i="18"/>
  <c r="V136"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X138" i="18" l="1"/>
  <c r="V139" i="18"/>
  <c r="W139" i="18" s="1"/>
  <c r="S140" i="18"/>
  <c r="W136" i="18"/>
  <c r="X136" i="18"/>
  <c r="G110" i="20"/>
  <c r="I111" i="20"/>
  <c r="J111" i="20"/>
  <c r="K111" i="20"/>
  <c r="E30" i="13"/>
  <c r="G31" i="13"/>
  <c r="F105" i="15"/>
  <c r="E4" i="18"/>
  <c r="C23" i="18"/>
  <c r="E16" i="14"/>
  <c r="G17" i="14"/>
  <c r="D65" i="9"/>
  <c r="X139" i="18" l="1"/>
  <c r="S141" i="18"/>
  <c r="S142" i="18" s="1"/>
  <c r="S143" i="18" s="1"/>
  <c r="V140" i="18"/>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44" i="18" l="1"/>
  <c r="V144" i="18" s="1"/>
  <c r="V143" i="18"/>
  <c r="W140" i="18"/>
  <c r="X140" i="18"/>
  <c r="V142" i="18"/>
  <c r="V141"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W143" i="18" l="1"/>
  <c r="X143" i="18"/>
  <c r="W144" i="18"/>
  <c r="X144" i="18"/>
  <c r="W142" i="18"/>
  <c r="X142" i="18"/>
  <c r="W141" i="18"/>
  <c r="X141"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<sst xmlns="http://schemas.openxmlformats.org/spreadsheetml/2006/main" count="13808" uniqueCount="5672">
  <si>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</si>
  <si>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</si>
  <si>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</si>
  <si>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</si>
  <si>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</si>
  <si>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</si>
  <si>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</si>
  <si>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</si>
  <si>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</si>
  <si>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</si>
  <si>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</si>
  <si>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</si>
  <si>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</si>
  <si>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</si>
  <si>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</si>
  <si>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</si>
  <si>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</si>
  <si>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</si>
  <si>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</si>
  <si>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</si>
  <si>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</si>
  <si>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</si>
  <si>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</si>
  <si>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</si>
  <si>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</si>
  <si>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</si>
  <si>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</si>
  <si>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</si>
  <si>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</si>
  <si>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</si>
  <si>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</si>
  <si>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</si>
  <si>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</si>
  <si>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</si>
  <si>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</si>
  <si>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</si>
  <si>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</si>
  <si>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</si>
  <si>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</si>
  <si>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</si>
  <si>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</si>
  <si>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</si>
  <si>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</si>
  <si>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</si>
  <si>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</si>
  <si>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</si>
  <si>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</si>
  <si>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</si>
  <si>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</si>
  <si>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</si>
  <si>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</si>
  <si>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</si>
  <si>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</si>
  <si>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</si>
  <si>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</si>
  <si>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</si>
  <si>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</si>
  <si>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</si>
  <si>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</si>
  <si>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</si>
  <si>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</si>
  <si>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</si>
  <si>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</si>
  <si>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</si>
  <si>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</si>
  <si>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</si>
  <si>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</si>
  <si>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</si>
  <si>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</si>
  <si>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</si>
  <si>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</si>
  <si>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</si>
  <si>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</si>
  <si>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</si>
  <si>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</si>
  <si>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</si>
  <si>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</si>
  <si>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</si>
  <si>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</si>
  <si>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</si>
  <si>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</si>
  <si>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</si>
  <si>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</si>
  <si>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</si>
  <si>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</si>
  <si>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</si>
  <si>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</si>
  <si>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</si>
  <si>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</si>
  <si>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</si>
  <si>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</si>
  <si>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</si>
  <si>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</si>
  <si>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</si>
  <si>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</si>
  <si>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</si>
  <si>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</si>
  <si>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</si>
  <si>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</si>
  <si>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</si>
  <si>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</si>
  <si>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</si>
  <si>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</si>
  <si>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</si>
  <si>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</si>
  <si>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</si>
  <si>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</si>
  <si>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</si>
  <si>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</si>
  <si>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</si>
  <si>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</si>
  <si>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</si>
  <si>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</si>
  <si>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</si>
  <si>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</si>
  <si>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</si>
  <si>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</si>
  <si>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</si>
  <si>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</si>
  <si>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</si>
  <si>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</si>
  <si>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</si>
  <si>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</si>
  <si>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</si>
  <si>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</si>
  <si>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</si>
  <si>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</si>
  <si>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</si>
  <si>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</si>
  <si>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</si>
  <si>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</si>
  <si>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</si>
  <si>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</si>
  <si>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</si>
  <si>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</si>
  <si>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</si>
  <si>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</si>
  <si>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</si>
  <si>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</si>
  <si>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</si>
  <si>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</si>
  <si>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</si>
  <si>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</si>
  <si>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</si>
  <si>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</si>
  <si>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</si>
  <si>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</si>
  <si>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</si>
  <si>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</si>
  <si>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</si>
  <si>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</si>
  <si>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</si>
  <si>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</si>
  <si>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</si>
  <si>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</si>
  <si>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</si>
  <si>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</si>
  <si>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</si>
  <si>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</si>
  <si>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</si>
  <si>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</si>
  <si>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</si>
  <si>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</si>
  <si>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</si>
  <si>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</si>
  <si>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</si>
  <si>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</si>
  <si>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</si>
  <si>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</si>
  <si>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</si>
  <si>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</si>
  <si>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</si>
  <si>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</si>
  <si>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</si>
  <si>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</si>
  <si>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</si>
  <si>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</si>
  <si>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</si>
  <si>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</si>
  <si>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</si>
  <si>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</si>
  <si>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</si>
  <si>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</si>
  <si>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</si>
  <si>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</si>
  <si>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</si>
  <si>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</si>
  <si>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</si>
  <si>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</si>
  <si>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</si>
  <si>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</si>
  <si>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</si>
  <si>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</si>
  <si>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</si>
  <si>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</si>
  <si>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</si>
  <si>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</si>
  <si>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</si>
  <si>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</si>
  <si>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</si>
  <si>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</si>
  <si>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</si>
  <si>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</si>
  <si>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</si>
  <si>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</si>
  <si>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</si>
  <si>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</si>
  <si>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</si>
  <si>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</si>
  <si>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</si>
  <si>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</si>
  <si>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</si>
  <si>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</si>
  <si>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</si>
  <si>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</si>
  <si>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</si>
  <si>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</si>
  <si>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</si>
  <si>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</si>
  <si>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</si>
  <si>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</si>
  <si>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</si>
  <si>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</si>
  <si>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</si>
  <si>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</si>
  <si>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</si>
  <si>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</si>
  <si>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</si>
  <si>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</si>
  <si>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</si>
  <si>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</si>
  <si>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</si>
  <si>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</si>
  <si>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</si>
  <si>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</si>
  <si>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</si>
  <si>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</si>
  <si>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</si>
  <si>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</si>
  <si>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</si>
  <si>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</si>
  <si>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</si>
  <si>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</si>
  <si>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</si>
  <si>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</si>
  <si>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</si>
  <si>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</si>
  <si>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</si>
  <si>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</si>
  <si>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</si>
  <si>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</si>
  <si>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</si>
  <si>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</si>
  <si>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</si>
  <si>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</si>
  <si>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</si>
  <si>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</si>
  <si>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</si>
  <si>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</si>
  <si>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</si>
  <si>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</si>
  <si>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</si>
  <si>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</si>
  <si>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</si>
  <si>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</si>
  <si>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</si>
  <si>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</si>
  <si>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</si>
  <si>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</si>
  <si>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</si>
  <si>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</si>
  <si>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</si>
  <si>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</si>
  <si>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</si>
  <si>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</si>
  <si>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</si>
  <si>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</si>
  <si>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</si>
  <si>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</si>
  <si>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</si>
  <si>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</si>
  <si>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</si>
  <si>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</si>
  <si>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</si>
  <si>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</si>
  <si>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</si>
  <si>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</si>
  <si>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</si>
  <si>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</si>
  <si>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</si>
  <si>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</si>
  <si>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</si>
  <si>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</si>
  <si>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</si>
  <si>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</si>
  <si>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</si>
  <si>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</si>
  <si>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</si>
  <si>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</si>
  <si>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</si>
  <si>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</si>
  <si>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</si>
  <si>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</si>
  <si>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</si>
  <si>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</si>
  <si>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</si>
  <si>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</si>
  <si>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</si>
  <si>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</si>
  <si>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</si>
  <si>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</si>
  <si>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</si>
  <si>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</si>
  <si>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</si>
  <si>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</si>
  <si>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</si>
  <si>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</si>
  <si>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</si>
  <si>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</si>
  <si>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</si>
  <si>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</si>
  <si>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</si>
  <si>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</si>
  <si>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</si>
  <si>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</si>
  <si>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</si>
  <si>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</si>
  <si>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</si>
  <si>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</si>
  <si>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</si>
  <si>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</si>
  <si>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</si>
  <si>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</si>
  <si>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</si>
  <si>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</si>
  <si>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</si>
  <si>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</si>
  <si>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</si>
  <si>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</si>
  <si>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</si>
  <si>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</si>
  <si>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</si>
  <si>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</si>
  <si>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</si>
  <si>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</si>
  <si>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</si>
  <si>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</si>
  <si>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</si>
  <si>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</si>
  <si>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</si>
  <si>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</si>
  <si>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</si>
  <si>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</si>
  <si>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</si>
  <si>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</si>
  <si>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</si>
  <si>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</si>
  <si>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</si>
  <si>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</si>
  <si>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</si>
  <si>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</si>
  <si>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</si>
  <si>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</si>
  <si>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</si>
  <si>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</si>
  <si>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</si>
  <si>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</si>
  <si>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</si>
  <si>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</si>
  <si>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</si>
  <si>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</si>
  <si>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</si>
  <si>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</si>
  <si>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</si>
  <si>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</si>
  <si>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</si>
  <si>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</si>
  <si>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</si>
  <si>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</si>
  <si>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</si>
  <si>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</si>
  <si>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</si>
  <si>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</si>
  <si>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</si>
  <si>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</si>
  <si>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</si>
  <si>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</si>
  <si>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</si>
  <si>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</si>
  <si>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</si>
  <si>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</si>
  <si>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</si>
  <si>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</si>
  <si>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</si>
  <si>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</si>
  <si>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</si>
  <si>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</si>
  <si>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</si>
  <si>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</si>
  <si>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</si>
  <si>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</si>
  <si>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</si>
  <si>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</si>
  <si>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</si>
  <si>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</si>
  <si>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</si>
  <si>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</si>
  <si>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</si>
  <si>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</si>
  <si>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</si>
  <si>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</si>
  <si>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</si>
  <si>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</si>
  <si>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</si>
  <si>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</si>
  <si>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</si>
  <si>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</si>
  <si>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</si>
  <si>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</si>
  <si>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</si>
  <si>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</si>
  <si>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</si>
  <si>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</si>
  <si>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</si>
  <si>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</si>
  <si>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</si>
  <si>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</si>
  <si>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</si>
  <si>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</si>
  <si>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</si>
  <si>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</si>
  <si>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</si>
  <si>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</si>
  <si>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</si>
  <si>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</si>
  <si>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</si>
  <si>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</si>
  <si>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</si>
  <si>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</si>
  <si>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</si>
  <si>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</si>
  <si>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</si>
  <si>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</si>
  <si>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</si>
  <si>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</si>
  <si>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</si>
  <si>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</si>
  <si>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</si>
  <si>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</si>
  <si>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</si>
  <si>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</si>
  <si>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</si>
  <si>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</si>
  <si>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</si>
  <si>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</si>
  <si>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</si>
  <si>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</si>
  <si>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</si>
  <si>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</si>
  <si>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</si>
  <si>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</si>
  <si>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</si>
  <si>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</si>
  <si>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</si>
  <si>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</si>
  <si>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</si>
  <si>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</si>
  <si>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</si>
  <si>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</si>
  <si>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</si>
  <si>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</si>
  <si>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</si>
  <si>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</si>
  <si>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</si>
  <si>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</si>
  <si>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</si>
  <si>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</si>
  <si>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</si>
  <si>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</si>
  <si>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</si>
  <si>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</si>
  <si>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</si>
  <si>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</si>
  <si>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</si>
  <si>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</si>
  <si>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</si>
  <si>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</si>
  <si>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</si>
  <si>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</si>
  <si>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</si>
  <si>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</si>
  <si>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</si>
  <si>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</si>
  <si>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</si>
  <si>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</si>
  <si>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</si>
  <si>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</si>
  <si>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</si>
  <si>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</si>
  <si>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</si>
  <si>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</si>
  <si>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</si>
  <si>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</si>
  <si>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</si>
  <si>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</si>
  <si>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</si>
  <si>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</si>
  <si>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</si>
  <si>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</si>
  <si>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</si>
  <si>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</si>
  <si>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</si>
  <si>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</si>
  <si>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</si>
  <si>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</si>
  <si>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</si>
  <si>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</si>
  <si>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</si>
  <si>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</si>
  <si>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</si>
  <si>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</si>
  <si>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</si>
  <si>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</si>
  <si>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</si>
  <si>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</si>
  <si>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</si>
  <si>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</si>
  <si>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</si>
  <si>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</si>
  <si>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</si>
  <si>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</si>
  <si>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</si>
  <si>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</si>
  <si>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</si>
  <si>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</si>
  <si>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</si>
  <si>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</si>
  <si>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</si>
  <si>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</si>
  <si>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</si>
  <si>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</si>
  <si>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</si>
  <si>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</si>
  <si>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</si>
  <si>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</si>
  <si>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</si>
  <si>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</si>
  <si>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</si>
  <si>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</si>
  <si>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</si>
  <si>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</si>
  <si>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</si>
  <si>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</si>
  <si>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</si>
  <si>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</si>
  <si>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</si>
  <si>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</si>
  <si>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</si>
  <si>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</si>
  <si>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</si>
  <si>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</si>
  <si>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</si>
  <si>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</si>
  <si>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</si>
  <si>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</si>
  <si>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</si>
  <si>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</si>
  <si>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</si>
  <si>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</si>
  <si>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</si>
  <si>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</si>
  <si>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</si>
  <si>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</si>
  <si>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</si>
  <si>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</si>
  <si>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</si>
  <si>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</si>
  <si>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</si>
  <si>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</si>
  <si>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</si>
  <si>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</si>
  <si>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</si>
  <si>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</si>
  <si>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</si>
  <si>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</si>
  <si>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</si>
  <si>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</si>
  <si>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</si>
  <si>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</si>
  <si>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</si>
  <si>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</si>
  <si>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</si>
  <si>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</si>
  <si>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</si>
  <si>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</si>
  <si>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</si>
  <si>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</si>
  <si>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</si>
  <si>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</si>
  <si>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</si>
  <si>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</si>
  <si>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</si>
  <si>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</si>
  <si>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</si>
  <si>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</si>
  <si>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</si>
  <si>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</si>
  <si>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</si>
  <si>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</si>
  <si>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</si>
  <si>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</si>
  <si>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</si>
  <si>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</si>
  <si>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</si>
  <si>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</si>
  <si>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</si>
  <si>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</si>
  <si>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</si>
  <si>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</si>
  <si>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</si>
  <si>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</si>
  <si>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</si>
  <si>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</si>
  <si>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</si>
  <si>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</si>
  <si>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</si>
  <si>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</si>
  <si>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</si>
  <si>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</si>
  <si>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</si>
  <si>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</si>
  <si>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</si>
  <si>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</si>
  <si>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</si>
  <si>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</si>
  <si>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</si>
  <si>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</si>
  <si>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</si>
  <si>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</si>
  <si>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</si>
  <si>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</si>
  <si>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</si>
  <si>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</si>
  <si>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</si>
  <si>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</si>
  <si>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</si>
  <si>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</si>
  <si>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</si>
  <si>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</si>
  <si>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</si>
  <si>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</si>
  <si>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</si>
  <si>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</si>
  <si>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</si>
  <si>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</si>
  <si>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</si>
  <si>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</si>
  <si>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</si>
  <si>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</si>
  <si>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</si>
  <si>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</si>
  <si>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</si>
  <si>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</si>
  <si>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</si>
  <si>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</si>
  <si>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</si>
  <si>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</si>
  <si>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</si>
  <si>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</si>
  <si>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</si>
  <si>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</si>
  <si>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</si>
  <si>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</si>
  <si>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</si>
  <si>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</si>
  <si>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</si>
  <si>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</si>
  <si>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</si>
  <si>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</si>
  <si>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</si>
  <si>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</si>
  <si>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</si>
  <si>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</si>
  <si>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</si>
  <si>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</si>
  <si>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</si>
  <si>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</si>
  <si>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</si>
  <si>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</si>
  <si>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</si>
  <si>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</si>
  <si>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</si>
  <si>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</si>
  <si>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</si>
  <si>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</si>
  <si>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</si>
  <si>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</si>
  <si>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</si>
  <si>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</si>
  <si>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</si>
  <si>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</si>
  <si>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</si>
  <si>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</si>
  <si>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</si>
  <si>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</si>
  <si>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</si>
  <si>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</si>
  <si>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</si>
  <si>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</si>
  <si>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</si>
  <si>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</si>
  <si>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</si>
  <si>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</si>
  <si>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</si>
  <si>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</si>
  <si>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</si>
  <si>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</si>
  <si>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</si>
  <si>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</si>
  <si>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</si>
  <si>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</si>
  <si>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</si>
  <si>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</si>
  <si>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</si>
  <si>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</si>
  <si>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</si>
  <si>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</si>
  <si>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</si>
  <si>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</si>
  <si>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</si>
  <si>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</si>
  <si>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</si>
  <si>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</si>
  <si>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</si>
  <si>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</si>
  <si>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</si>
  <si>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</si>
  <si>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</si>
  <si>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</si>
  <si>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</si>
  <si>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</si>
  <si>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</si>
  <si>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</si>
  <si>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</si>
  <si>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</si>
  <si>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</si>
  <si>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</si>
  <si>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</si>
  <si>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</si>
  <si>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</si>
  <si>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</si>
  <si>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</si>
  <si>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</si>
  <si>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</si>
  <si>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</si>
  <si>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</si>
  <si>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</si>
  <si>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</si>
  <si>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</si>
  <si>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</si>
  <si>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</si>
  <si>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</si>
  <si>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</si>
  <si>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</si>
  <si>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</si>
  <si>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</si>
  <si>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</si>
  <si>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</si>
  <si>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</si>
  <si>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</si>
  <si>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</si>
  <si>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</si>
  <si>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</si>
  <si>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</si>
  <si>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</si>
  <si>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</si>
  <si>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</si>
  <si>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</si>
  <si>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</si>
  <si>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</si>
  <si>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</si>
  <si>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</si>
  <si>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</si>
  <si>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</si>
  <si>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</si>
  <si>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</si>
  <si>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</si>
  <si>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</si>
  <si>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</si>
  <si>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</si>
  <si>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</si>
  <si>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</si>
  <si>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</si>
  <si>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</si>
  <si>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</si>
  <si>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</si>
  <si>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</si>
  <si>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</si>
  <si>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</si>
  <si>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</si>
  <si>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</si>
  <si>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</si>
  <si>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</si>
  <si>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</si>
  <si>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</si>
  <si>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</si>
  <si>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</si>
  <si>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</si>
  <si>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</si>
  <si>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</si>
  <si>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</si>
  <si>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</si>
  <si>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</si>
  <si>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</si>
  <si>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</si>
  <si>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</si>
  <si>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</si>
  <si>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</si>
  <si>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</si>
  <si>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</si>
  <si>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</si>
  <si>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</si>
  <si>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</si>
  <si>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</si>
  <si>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</si>
  <si>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</si>
  <si>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</si>
  <si>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</si>
  <si>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</si>
  <si>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</si>
  <si>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</si>
  <si>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</si>
  <si>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</si>
  <si>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</si>
  <si>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</si>
  <si>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</si>
  <si>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</si>
  <si>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</si>
  <si>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</si>
  <si>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</si>
  <si>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</si>
  <si>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</si>
  <si>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</si>
  <si>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</si>
  <si>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</si>
  <si>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</si>
  <si>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</si>
  <si>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</si>
  <si>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</si>
  <si>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</si>
  <si>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</si>
  <si>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</si>
  <si>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</si>
  <si>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</si>
  <si>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</si>
  <si>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</si>
  <si>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</si>
  <si>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</si>
  <si>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</si>
  <si>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</si>
  <si>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</si>
  <si>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</si>
  <si>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</si>
  <si>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</si>
  <si>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</si>
  <si>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</si>
  <si>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</si>
  <si>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</si>
  <si>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</si>
  <si>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</si>
  <si>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</si>
  <si>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</si>
  <si>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</si>
  <si>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</si>
  <si>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</si>
  <si>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</si>
  <si>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</si>
  <si>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</si>
  <si>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</si>
  <si>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</si>
  <si>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</si>
  <si>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</si>
  <si>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</si>
  <si>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</si>
  <si>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</si>
  <si>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</si>
  <si>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</si>
  <si>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</si>
  <si>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</si>
  <si>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</si>
  <si>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</si>
  <si>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</si>
  <si>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</si>
  <si>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</si>
  <si>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</si>
  <si>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</si>
  <si>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</si>
  <si>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</si>
  <si>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</si>
  <si>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</si>
  <si>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</si>
  <si>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</si>
  <si>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</si>
  <si>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</si>
  <si>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</si>
  <si>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</si>
  <si>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</si>
  <si>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</si>
  <si>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</si>
  <si>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</si>
  <si>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</si>
  <si>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</si>
  <si>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</si>
  <si>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</si>
  <si>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</si>
  <si>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</si>
  <si>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</si>
  <si>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</si>
  <si>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</si>
  <si>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</si>
  <si>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</si>
  <si>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</si>
  <si>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</si>
  <si>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</si>
  <si>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</si>
  <si>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</si>
  <si>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</si>
  <si>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</si>
  <si>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</si>
  <si>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</si>
  <si>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</si>
  <si>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</si>
  <si>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</si>
  <si>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</si>
  <si>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</si>
  <si>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</si>
  <si>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</si>
  <si>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</si>
  <si>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</si>
  <si>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</si>
  <si>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</si>
  <si>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</si>
  <si>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</si>
  <si>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</si>
  <si>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</si>
  <si>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</si>
  <si>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</si>
  <si>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</si>
  <si>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</si>
  <si>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</si>
  <si>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</si>
  <si>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</si>
  <si>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</si>
  <si>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</si>
  <si>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</si>
  <si>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</si>
  <si>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</si>
  <si>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</si>
  <si>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</si>
  <si>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</si>
  <si>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</si>
  <si>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</si>
  <si>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</si>
  <si>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</si>
  <si>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</si>
  <si>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</si>
  <si>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</si>
  <si>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</si>
  <si>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</si>
  <si>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</si>
  <si>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</si>
  <si>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</si>
  <si>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</si>
  <si>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</si>
  <si>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</si>
  <si>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</si>
  <si>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</si>
  <si>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</si>
  <si>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</si>
  <si>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</si>
  <si>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</si>
  <si>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</si>
  <si>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</si>
  <si>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</si>
  <si>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</si>
  <si>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</si>
  <si>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</si>
  <si>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</si>
  <si>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</si>
  <si>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</si>
  <si>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</si>
  <si>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</si>
  <si>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</si>
  <si>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</si>
  <si>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</si>
  <si>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</si>
  <si>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</si>
  <si>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</si>
  <si>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</si>
  <si>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</si>
  <si>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</si>
  <si>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</si>
  <si>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</si>
  <si>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</si>
  <si>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</si>
  <si>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</si>
  <si>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</si>
  <si>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</si>
  <si>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</si>
  <si>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</si>
  <si>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</si>
  <si>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</si>
  <si>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</si>
  <si>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</si>
  <si>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</si>
  <si>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</si>
  <si>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</si>
  <si>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</si>
  <si>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</si>
  <si>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</si>
  <si>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</si>
  <si>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</si>
  <si>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</si>
  <si>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</si>
  <si>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</si>
  <si>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</si>
  <si>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</si>
  <si>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</si>
  <si>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</si>
  <si>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</si>
  <si>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</si>
  <si>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</si>
  <si>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</si>
  <si>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</si>
  <si>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</si>
  <si>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</si>
  <si>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</si>
  <si>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</si>
  <si>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</si>
  <si>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</si>
  <si>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</si>
  <si>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</si>
  <si>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</si>
  <si>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</si>
  <si>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</si>
  <si>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</si>
  <si>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</si>
  <si>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</si>
  <si>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</si>
  <si>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</si>
  <si>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</si>
  <si>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</si>
  <si>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</si>
  <si>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</si>
  <si>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</si>
  <si>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</si>
  <si>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</si>
  <si>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</si>
  <si>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</si>
  <si>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</si>
  <si>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</si>
  <si>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</si>
  <si>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</si>
  <si>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</si>
  <si>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</si>
  <si>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</si>
  <si>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</si>
  <si>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</si>
  <si>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</si>
  <si>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</si>
  <si>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</si>
  <si>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</si>
  <si>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</si>
  <si>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</si>
  <si>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</si>
  <si>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</si>
  <si>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</si>
  <si>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</si>
  <si>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</si>
  <si>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</si>
  <si>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</si>
  <si>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</si>
  <si>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</si>
  <si>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</si>
  <si>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</si>
  <si>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</si>
  <si>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</si>
  <si>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</si>
  <si>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</si>
  <si>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</si>
  <si>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</si>
  <si>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</si>
  <si>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</si>
  <si>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</si>
  <si>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</si>
  <si>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</si>
  <si>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</si>
  <si>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</si>
  <si>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</si>
  <si>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</si>
  <si>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</si>
  <si>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</si>
  <si>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</si>
  <si>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</si>
  <si>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</si>
  <si>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</si>
  <si>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</si>
  <si>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</si>
  <si>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</si>
  <si>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</si>
  <si>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</si>
  <si>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</si>
  <si>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</si>
  <si>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</si>
  <si>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</si>
  <si>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</si>
  <si>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</si>
  <si>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</si>
  <si>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</si>
  <si>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</si>
  <si>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</si>
  <si>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</si>
  <si>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</si>
  <si>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</si>
  <si>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</si>
  <si>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</si>
  <si>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</si>
  <si>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</si>
  <si>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</si>
  <si>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</si>
  <si>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</si>
  <si>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</si>
  <si>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</si>
  <si>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</si>
  <si>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</si>
  <si>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</si>
  <si>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</si>
  <si>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</si>
  <si>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</si>
  <si>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</si>
  <si>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</si>
  <si>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</si>
  <si>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</si>
  <si>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</si>
  <si>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</si>
  <si>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</si>
  <si>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</si>
  <si>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</si>
  <si>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</si>
  <si>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</si>
  <si>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</si>
  <si>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</si>
  <si>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</si>
  <si>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</si>
  <si>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</si>
  <si>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</si>
  <si>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</si>
  <si>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</si>
  <si>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</si>
  <si>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</si>
  <si>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</si>
  <si>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</si>
  <si>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</si>
  <si>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</si>
  <si>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</si>
  <si>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</si>
  <si>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</si>
  <si>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</si>
  <si>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</si>
  <si>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</si>
  <si>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</si>
  <si>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</si>
  <si>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</si>
  <si>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</si>
  <si>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</si>
  <si>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</si>
  <si>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</si>
  <si>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</si>
  <si>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</si>
  <si>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</si>
  <si>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</si>
  <si>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</si>
  <si>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</si>
  <si>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</si>
  <si>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</si>
  <si>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</si>
  <si>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</si>
  <si>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</si>
  <si>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</si>
  <si>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</si>
  <si>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</si>
  <si>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</si>
  <si>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</si>
  <si>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</si>
  <si>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</si>
  <si>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</si>
  <si>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</si>
  <si>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</si>
  <si>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</si>
  <si>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</si>
  <si>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</si>
  <si>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</si>
  <si>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</si>
  <si>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</si>
  <si>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</si>
  <si>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</si>
  <si>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</si>
  <si>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</si>
  <si>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</si>
  <si>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</si>
  <si>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</si>
  <si>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</si>
  <si>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</si>
  <si>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</si>
  <si>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</si>
  <si>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</si>
  <si>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</si>
  <si>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</si>
  <si>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</si>
  <si>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</si>
  <si>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</si>
  <si>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</si>
  <si>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</si>
  <si>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</si>
  <si>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</si>
  <si>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</si>
  <si>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</si>
  <si>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</si>
  <si>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</si>
  <si>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</si>
  <si>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</si>
  <si>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</si>
  <si>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</si>
  <si>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</si>
  <si>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</si>
  <si>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</si>
  <si>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</si>
  <si>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</si>
  <si>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</si>
  <si>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</si>
  <si>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</si>
  <si>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</si>
  <si>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</si>
  <si>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</si>
  <si>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</si>
  <si>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</si>
  <si>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</si>
  <si>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</si>
  <si>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</si>
  <si>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</si>
  <si>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</si>
  <si>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</si>
  <si>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</si>
  <si>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</si>
  <si>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</si>
  <si>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</si>
  <si>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</si>
  <si>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</si>
  <si>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</si>
  <si>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</si>
  <si>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</si>
  <si>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</si>
  <si>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</si>
  <si>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</si>
  <si>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</si>
  <si>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</si>
  <si>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</si>
  <si>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</si>
  <si>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</si>
  <si>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</si>
  <si>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</si>
  <si>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</si>
  <si>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</si>
  <si>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</si>
  <si>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</si>
  <si>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</si>
  <si>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</si>
  <si>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</si>
  <si>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</si>
  <si>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</si>
  <si>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</si>
  <si>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</si>
  <si>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</si>
  <si>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</si>
  <si>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</si>
  <si>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</si>
  <si>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</si>
  <si>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</si>
  <si>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</si>
  <si>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</si>
  <si>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</si>
  <si>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</si>
  <si>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</si>
  <si>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</si>
  <si>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</si>
  <si>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</si>
  <si>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</si>
  <si>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</si>
  <si>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</si>
  <si>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</si>
  <si>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</si>
  <si>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</si>
  <si>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</si>
  <si>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</si>
  <si>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</si>
  <si>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</si>
  <si>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</si>
  <si>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</si>
  <si>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</si>
  <si>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</si>
  <si>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</si>
  <si>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</si>
  <si>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</si>
  <si>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</si>
  <si>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</si>
  <si>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</si>
  <si>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</si>
  <si>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</si>
  <si>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</si>
  <si>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</si>
  <si>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</si>
  <si>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</si>
  <si>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</si>
  <si>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</si>
  <si>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</si>
  <si>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</si>
  <si>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</si>
  <si>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</si>
  <si>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</si>
  <si>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</si>
  <si>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</si>
  <si>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</si>
  <si>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</si>
  <si>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</si>
  <si>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</si>
  <si>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</si>
  <si>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</si>
  <si>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</si>
  <si>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</si>
  <si>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</si>
  <si>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</si>
  <si>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</si>
  <si>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</si>
  <si>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</si>
  <si>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</si>
  <si>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</si>
  <si>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</si>
  <si>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</si>
  <si>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</si>
  <si>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</si>
  <si>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</si>
  <si>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</si>
  <si>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</si>
  <si>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</si>
  <si>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</si>
  <si>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</si>
  <si>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</si>
  <si>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</si>
  <si>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</si>
  <si>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</si>
  <si>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</si>
  <si>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</si>
  <si>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</si>
  <si>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</si>
  <si>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</si>
  <si>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</si>
  <si>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</si>
  <si>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</si>
  <si>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</si>
  <si>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</si>
  <si>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</si>
  <si>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</si>
  <si>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</si>
  <si>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</si>
  <si>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</si>
  <si>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</si>
  <si>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</si>
  <si>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</si>
  <si>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</si>
  <si>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</si>
  <si>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</si>
  <si>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</si>
  <si>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</si>
  <si>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</si>
  <si>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</si>
  <si>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</si>
  <si>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</si>
  <si>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</si>
  <si>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</si>
  <si>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</si>
  <si>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</si>
  <si>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</si>
  <si>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</si>
  <si>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</si>
  <si>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</si>
  <si>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</si>
  <si>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</si>
  <si>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</si>
  <si>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</si>
  <si>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</si>
  <si>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</si>
  <si>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</si>
  <si>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</si>
  <si>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</si>
  <si>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</si>
  <si>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</si>
  <si>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</si>
  <si>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</si>
  <si>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</si>
  <si>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</si>
  <si>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</si>
  <si>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</si>
  <si>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</si>
  <si>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</si>
  <si>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</si>
  <si>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</si>
  <si>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</si>
  <si>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</si>
  <si>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</si>
  <si>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</si>
  <si>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</si>
  <si>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</si>
  <si>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</si>
  <si>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</si>
  <si>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</si>
  <si>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</si>
  <si>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</si>
  <si>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</si>
  <si>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</si>
  <si>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</si>
  <si>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</si>
  <si>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</si>
  <si>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</si>
  <si>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</si>
  <si>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</si>
  <si>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</si>
  <si>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</si>
  <si>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</si>
  <si>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</si>
  <si>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</si>
  <si>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</si>
  <si>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</si>
  <si>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</si>
  <si>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</si>
  <si>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</si>
  <si>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</si>
  <si>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</si>
  <si>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</si>
  <si>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</si>
  <si>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</si>
  <si>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</si>
  <si>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</si>
  <si>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</si>
  <si>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</si>
  <si>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</si>
  <si>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</si>
  <si>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</si>
  <si>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</si>
  <si>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</si>
  <si>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</si>
  <si>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</si>
  <si>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</si>
  <si>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</si>
  <si>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</si>
  <si>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</si>
  <si>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</si>
  <si>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</si>
  <si>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</si>
  <si>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</si>
  <si>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</si>
  <si>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</si>
  <si>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</si>
  <si>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</si>
  <si>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</si>
  <si>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</si>
  <si>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</si>
  <si>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</si>
  <si>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</si>
  <si>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</si>
  <si>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</si>
  <si>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</si>
  <si>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</si>
  <si>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</si>
  <si>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</si>
  <si>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</si>
  <si>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</si>
  <si>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</si>
  <si>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</si>
  <si>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</si>
  <si>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</si>
  <si>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</si>
  <si>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</si>
  <si>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</si>
  <si>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</si>
  <si>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</si>
  <si>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</si>
  <si>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</si>
  <si>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</si>
  <si>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</si>
  <si>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</si>
  <si>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</si>
  <si>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</si>
  <si>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</si>
  <si>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</si>
  <si>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</si>
  <si>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</si>
  <si>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</si>
  <si>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</si>
  <si>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</si>
  <si>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</si>
  <si>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</si>
  <si>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</si>
  <si>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</si>
  <si>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</si>
  <si>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</si>
  <si>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</si>
  <si>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</si>
  <si>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</si>
  <si>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</si>
  <si>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</si>
  <si>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</si>
  <si>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</si>
  <si>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</si>
  <si>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</si>
  <si>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</si>
  <si>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</si>
  <si>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</si>
  <si>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</si>
  <si>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</si>
  <si>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</si>
  <si>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</si>
  <si>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</si>
  <si>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</si>
  <si>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</si>
  <si>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</si>
  <si>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</si>
  <si>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</si>
  <si>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</si>
  <si>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</si>
  <si>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</si>
  <si>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</si>
  <si>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</si>
  <si>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</si>
  <si>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</si>
  <si>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</si>
  <si>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</si>
  <si>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</si>
  <si>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</si>
  <si>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</si>
  <si>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</si>
  <si>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</si>
  <si>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</si>
  <si>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</si>
  <si>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</si>
  <si>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</si>
  <si>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</si>
  <si>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</si>
  <si>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</si>
  <si>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</si>
  <si>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</si>
  <si>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</si>
  <si>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</si>
  <si>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</si>
  <si>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</si>
  <si>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</si>
  <si>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</si>
  <si>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</si>
  <si>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</si>
  <si>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</si>
  <si>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</si>
  <si>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</si>
  <si>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</si>
  <si>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</si>
  <si>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</si>
  <si>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</si>
  <si>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</si>
  <si>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</si>
  <si>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</si>
  <si>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</si>
  <si>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</si>
  <si>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</si>
  <si>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</si>
  <si>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</si>
  <si>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</si>
  <si>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</si>
  <si>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</si>
  <si>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</si>
  <si>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</si>
  <si>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</si>
  <si>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</si>
  <si>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</si>
  <si>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</si>
  <si>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</si>
  <si>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</si>
  <si>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</si>
  <si>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</si>
  <si>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</si>
  <si>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</si>
  <si>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</si>
  <si>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</si>
  <si>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</si>
  <si>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</si>
  <si>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</si>
  <si>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</si>
  <si>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</si>
  <si>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</si>
  <si>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</si>
  <si>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</si>
  <si>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</si>
  <si>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</si>
  <si>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</si>
  <si>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</si>
  <si>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</si>
  <si>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</si>
  <si>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</si>
  <si>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</si>
  <si>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</si>
  <si>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</si>
  <si>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</si>
  <si>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</si>
  <si>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</si>
  <si>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</si>
  <si>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</si>
  <si>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</si>
  <si>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</si>
  <si>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</si>
  <si>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</si>
  <si>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</si>
  <si>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</si>
  <si>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</si>
  <si>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</si>
  <si>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</si>
  <si>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</si>
  <si>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</si>
  <si>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</si>
  <si>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</si>
  <si>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</si>
  <si>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</si>
  <si>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</si>
  <si>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</si>
  <si>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</si>
  <si>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</si>
  <si>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</si>
  <si>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</si>
  <si>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</si>
  <si>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</si>
  <si>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</si>
  <si>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</si>
  <si>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</si>
  <si>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</si>
  <si>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</si>
  <si>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</si>
  <si>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</si>
  <si>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</si>
  <si>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</si>
  <si>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</si>
  <si>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</si>
  <si>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</si>
  <si>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</si>
  <si>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</si>
  <si>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</si>
  <si>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</si>
  <si>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</si>
  <si>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</si>
  <si>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</si>
  <si>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</si>
  <si>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</si>
  <si>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</si>
  <si>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</si>
  <si>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</si>
  <si>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</si>
  <si>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</si>
  <si>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</si>
  <si>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</si>
  <si>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</si>
  <si>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</si>
  <si>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</si>
  <si>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</si>
  <si>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</si>
  <si>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</si>
  <si>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</si>
  <si>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</si>
  <si>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</si>
  <si>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</si>
  <si>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</si>
  <si>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</si>
  <si>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</si>
  <si>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</si>
  <si>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</si>
  <si>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</si>
  <si>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</si>
  <si>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</si>
  <si>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</si>
  <si>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</si>
  <si>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</si>
  <si>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</si>
  <si>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</si>
  <si>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</si>
  <si>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</si>
  <si>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</si>
  <si>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</si>
  <si>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</si>
  <si>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</si>
  <si>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</si>
  <si>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</si>
  <si>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</si>
  <si>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</si>
  <si>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</si>
  <si>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</si>
  <si>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</si>
  <si>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</si>
  <si>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</si>
  <si>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</si>
  <si>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</si>
  <si>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</si>
  <si>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</si>
  <si>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</si>
  <si>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</si>
  <si>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</si>
  <si>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</si>
  <si>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</si>
  <si>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</si>
  <si>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</si>
  <si>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</si>
  <si>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</si>
  <si>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</si>
  <si>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</si>
  <si>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</si>
  <si>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</si>
  <si>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</si>
  <si>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</si>
  <si>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</si>
  <si>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</si>
  <si>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</si>
  <si>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</si>
  <si>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</si>
  <si>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</si>
  <si>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</si>
  <si>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</si>
  <si>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</si>
  <si>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</si>
  <si>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</si>
  <si>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</si>
  <si>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</si>
  <si>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</si>
  <si>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</si>
  <si>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</si>
  <si>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</si>
  <si>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</si>
  <si>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</si>
  <si>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</si>
  <si>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</si>
  <si>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</si>
  <si>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</si>
  <si>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</si>
  <si>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</si>
  <si>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</si>
  <si>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</si>
  <si>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</si>
  <si>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</si>
  <si>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</si>
  <si>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</si>
  <si>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</si>
  <si>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</si>
  <si>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</si>
  <si>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</si>
  <si>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</si>
  <si>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</si>
  <si>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</si>
  <si>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</si>
  <si>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</si>
  <si>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</si>
  <si>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</si>
  <si>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</si>
  <si>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</si>
  <si>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</si>
  <si>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</si>
  <si>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</si>
  <si>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</si>
  <si>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</si>
  <si>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</si>
  <si>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</si>
  <si>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</si>
  <si>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</si>
  <si>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</si>
  <si>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</si>
  <si>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</si>
  <si>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</si>
  <si>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</si>
  <si>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</si>
  <si>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</si>
  <si>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</si>
  <si>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</si>
  <si>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</si>
  <si>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</si>
  <si>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</si>
  <si>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</si>
  <si>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</si>
  <si>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</si>
  <si>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</si>
  <si>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</si>
  <si>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</si>
  <si>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</si>
  <si>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</si>
  <si>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</si>
  <si>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</si>
  <si>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</si>
  <si>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</si>
  <si>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</si>
  <si>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</si>
  <si>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</si>
  <si>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</si>
  <si>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</si>
  <si>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</si>
  <si>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</si>
  <si>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</si>
  <si>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</si>
  <si>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</si>
  <si>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</si>
  <si>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</si>
  <si>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</si>
  <si>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</si>
  <si>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</si>
  <si>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</si>
  <si>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</si>
  <si>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</si>
  <si>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</si>
  <si>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</si>
  <si>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</si>
  <si>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</si>
  <si>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</si>
  <si>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</si>
  <si>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</si>
  <si>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</si>
  <si>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</si>
  <si>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</si>
  <si>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</si>
  <si>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</si>
  <si>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</si>
  <si>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</si>
  <si>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</si>
  <si>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</si>
  <si>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</si>
  <si>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</si>
  <si>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</si>
  <si>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</si>
  <si>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</si>
  <si>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</si>
  <si>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</si>
  <si>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</si>
  <si>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</si>
  <si>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</si>
  <si>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</si>
  <si>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</si>
  <si>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</si>
  <si>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</si>
  <si>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</si>
  <si>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</si>
  <si>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</si>
  <si>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</si>
  <si>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</si>
  <si>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</si>
  <si>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</si>
  <si>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</si>
  <si>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</si>
  <si>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</si>
  <si>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</si>
  <si>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</si>
  <si>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</si>
  <si>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</si>
  <si>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</si>
  <si>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</si>
  <si>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</si>
  <si>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</si>
  <si>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</si>
  <si>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</si>
  <si>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</si>
  <si>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</si>
  <si>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</si>
  <si>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</si>
  <si>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</si>
  <si>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</si>
  <si>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</si>
  <si>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</si>
  <si>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</si>
  <si>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</si>
  <si>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</si>
  <si>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</si>
  <si>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</si>
  <si>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</si>
  <si>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</si>
  <si>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</si>
  <si>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</si>
  <si>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</si>
  <si>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</si>
  <si>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</si>
  <si>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</si>
  <si>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</si>
  <si>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</si>
  <si>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</si>
  <si>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</si>
  <si>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</si>
  <si>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</si>
  <si>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</si>
  <si>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</si>
  <si>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</si>
  <si>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</si>
  <si>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</si>
  <si>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</si>
  <si>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</si>
  <si>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</si>
  <si>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</si>
  <si>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</si>
  <si>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</si>
  <si>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</si>
  <si>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</si>
  <si>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</si>
  <si>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</si>
  <si>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</si>
  <si>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</si>
  <si>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</si>
  <si>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</si>
  <si>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</si>
  <si>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</si>
  <si>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</si>
  <si>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</si>
  <si>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</si>
  <si>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</si>
  <si>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</si>
  <si>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</si>
  <si>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</si>
  <si>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</si>
  <si>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</si>
  <si>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</si>
  <si>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</si>
  <si>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</si>
  <si>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</si>
  <si>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</si>
  <si>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</si>
  <si>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</si>
  <si>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</si>
  <si>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</si>
  <si>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</si>
  <si>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</si>
  <si>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</si>
  <si>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</si>
  <si>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</si>
  <si>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</si>
  <si>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</si>
  <si>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</si>
  <si>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</si>
  <si>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</si>
  <si>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</si>
  <si>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</si>
  <si>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</si>
  <si>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</si>
  <si>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</si>
  <si>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</si>
  <si>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</si>
  <si>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</si>
  <si>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</si>
  <si>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</si>
  <si>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</si>
  <si>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</si>
  <si>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</si>
  <si>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</si>
  <si>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</si>
  <si>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</si>
  <si>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</si>
  <si>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</si>
  <si>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</si>
  <si>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</si>
  <si>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</si>
  <si>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</si>
  <si>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</si>
  <si>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</si>
  <si>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</si>
  <si>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</si>
  <si>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</si>
  <si>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</si>
  <si>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</si>
  <si>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</si>
  <si>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</si>
  <si>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</si>
  <si>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</si>
  <si>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</si>
  <si>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</si>
  <si>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</si>
  <si>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</si>
  <si>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</si>
  <si>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</si>
  <si>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</si>
  <si>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</si>
  <si>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</si>
  <si>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</si>
  <si>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</si>
  <si>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</si>
  <si>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</si>
  <si>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</si>
  <si>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</si>
  <si>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</si>
  <si>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</si>
  <si>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</si>
  <si>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</si>
  <si>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</si>
  <si>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</si>
  <si>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</si>
  <si>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</si>
  <si>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</si>
  <si>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</si>
  <si>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</si>
  <si>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</si>
  <si>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</si>
  <si>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</si>
  <si>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</si>
  <si>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</si>
  <si>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</si>
  <si>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</si>
  <si>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</si>
  <si>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</si>
  <si>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</si>
  <si>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</si>
  <si>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</si>
  <si>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</si>
  <si>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</si>
  <si>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</si>
  <si>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</si>
  <si>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</si>
  <si>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</si>
  <si>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</si>
  <si>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</si>
  <si>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</si>
  <si>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</si>
  <si>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</si>
  <si>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</si>
  <si>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</si>
  <si>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</si>
  <si>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</si>
  <si>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</si>
  <si>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</si>
  <si>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</si>
  <si>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</si>
  <si>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</si>
  <si>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</si>
  <si>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</si>
  <si>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</si>
  <si>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</si>
  <si>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</si>
  <si>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</si>
  <si>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</si>
  <si>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</si>
  <si>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</si>
  <si>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</si>
  <si>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</si>
  <si>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</si>
  <si>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</si>
  <si>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</si>
  <si>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</si>
  <si>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</si>
  <si>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</si>
  <si>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</si>
  <si>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</si>
  <si>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</si>
  <si>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</si>
  <si>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</si>
  <si>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</si>
  <si>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</si>
  <si>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</si>
  <si>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</si>
  <si>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</si>
  <si>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</si>
  <si>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</si>
  <si>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</si>
  <si>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</si>
  <si>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</si>
  <si>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</si>
  <si>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</si>
  <si>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</si>
  <si>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</si>
  <si>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</si>
  <si>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</si>
  <si>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</si>
  <si>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</si>
  <si>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</si>
  <si>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</si>
  <si>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</si>
  <si>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</si>
  <si>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</si>
  <si>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</si>
  <si>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</si>
  <si>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</si>
  <si>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</si>
  <si>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</si>
  <si>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</si>
  <si>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</si>
  <si>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</si>
  <si>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</si>
  <si>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</si>
  <si>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</si>
  <si>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</si>
  <si>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</si>
  <si>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</si>
  <si>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</si>
  <si>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</si>
  <si>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</si>
  <si>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</si>
  <si>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</si>
  <si>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</si>
  <si>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</si>
  <si>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</si>
  <si>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</si>
  <si>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</si>
  <si>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</si>
  <si>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</si>
  <si>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</si>
  <si>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</si>
  <si>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</si>
  <si>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</si>
  <si>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</si>
  <si>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</si>
  <si>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</si>
  <si>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</si>
  <si>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</si>
  <si>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</si>
  <si>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</si>
  <si>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</si>
  <si>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</si>
  <si>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</si>
  <si>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</si>
  <si>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</si>
  <si>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</si>
  <si>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</si>
  <si>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</si>
  <si>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</si>
  <si>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</si>
  <si>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</si>
  <si>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</si>
  <si>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</si>
  <si>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</si>
  <si>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</si>
  <si>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</si>
  <si>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</si>
  <si>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</si>
  <si>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</si>
  <si>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</si>
  <si>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</si>
  <si>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</si>
  <si>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</si>
  <si>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</si>
  <si>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</si>
  <si>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</si>
  <si>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</si>
  <si>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</si>
  <si>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</si>
  <si>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</si>
  <si>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</si>
  <si>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</si>
  <si>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</si>
  <si>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</si>
  <si>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</si>
  <si>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</si>
  <si>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</si>
  <si>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</si>
  <si>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</si>
  <si>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</si>
  <si>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</si>
  <si>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</si>
  <si>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</si>
  <si>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</si>
  <si>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</si>
  <si>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</si>
  <si>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</si>
  <si>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</si>
  <si>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</si>
  <si>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</si>
  <si>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</si>
  <si>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</si>
  <si>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</si>
  <si>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</si>
  <si>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</si>
  <si>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</si>
  <si>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</si>
  <si>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</si>
  <si>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</si>
  <si>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</si>
  <si>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</si>
  <si>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</si>
  <si>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</si>
  <si>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</si>
  <si>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</si>
  <si>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</si>
  <si>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</si>
  <si>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</si>
  <si>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</si>
  <si>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</si>
  <si>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</si>
  <si>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</si>
  <si>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</si>
  <si>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</si>
  <si>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</si>
  <si>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</si>
  <si>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</si>
  <si>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</si>
  <si>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</si>
  <si>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</si>
  <si>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</si>
  <si>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</si>
  <si>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</si>
  <si>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</si>
  <si>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</si>
  <si>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</si>
  <si>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</si>
  <si>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</si>
  <si>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</si>
  <si>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</si>
  <si>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</si>
  <si>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</si>
  <si>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</si>
  <si>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</si>
  <si>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</si>
  <si>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</si>
  <si>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</si>
  <si>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</si>
  <si>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</si>
  <si>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</si>
  <si>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</si>
  <si>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</si>
  <si>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</si>
  <si>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</si>
  <si>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</si>
  <si>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</si>
  <si>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</si>
  <si>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</si>
  <si>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</si>
  <si>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</si>
  <si>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</si>
  <si>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</si>
  <si>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</si>
  <si>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</si>
  <si>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</si>
  <si>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</si>
  <si>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</si>
  <si>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</si>
  <si>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</si>
  <si>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</si>
  <si>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</si>
  <si>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</si>
  <si>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</si>
  <si>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</si>
  <si>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</si>
  <si>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</si>
  <si>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</si>
  <si>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</si>
  <si>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</si>
  <si>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</si>
  <si>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</si>
  <si>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</si>
  <si>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</si>
  <si>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</si>
  <si>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</si>
  <si>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</si>
  <si>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</si>
  <si>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</si>
  <si>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</si>
  <si>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</si>
  <si>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</si>
  <si>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</si>
  <si>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</si>
  <si>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</si>
  <si>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</si>
  <si>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</si>
  <si>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</si>
  <si>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</si>
  <si>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</si>
  <si>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</si>
  <si>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</si>
  <si>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</si>
  <si>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</si>
  <si>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</si>
  <si>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</si>
  <si>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</si>
  <si>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</si>
  <si>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</si>
  <si>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</si>
  <si>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</si>
  <si>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</si>
  <si>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</si>
  <si>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</si>
  <si>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</si>
  <si>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</si>
  <si>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</si>
  <si>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</si>
  <si>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</si>
  <si>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</si>
  <si>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</si>
  <si>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</si>
  <si>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</si>
  <si>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</si>
  <si>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</si>
  <si>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</si>
  <si>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</si>
  <si>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</si>
  <si>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</si>
  <si>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</si>
  <si>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</si>
  <si>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</si>
  <si>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</si>
  <si>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</si>
  <si>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</si>
  <si>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</si>
  <si>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</si>
  <si>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</si>
  <si>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</si>
  <si>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</si>
  <si>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</si>
  <si>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</si>
  <si>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</si>
  <si>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</si>
  <si>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</si>
  <si>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</si>
  <si>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</si>
  <si>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</si>
  <si>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</si>
  <si>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</si>
  <si>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</si>
  <si>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</si>
  <si>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</si>
  <si>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</si>
  <si>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</si>
  <si>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</si>
  <si>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</si>
  <si>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</si>
  <si>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</si>
  <si>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</si>
  <si>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</si>
  <si>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</si>
  <si>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</si>
  <si>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</si>
  <si>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</si>
  <si>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</si>
  <si>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</si>
  <si>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</si>
  <si>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</si>
  <si>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</si>
  <si>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</si>
  <si>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</si>
  <si>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</si>
  <si>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</si>
  <si>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</si>
  <si>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</si>
  <si>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</si>
  <si>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</si>
  <si>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</si>
  <si>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</si>
  <si>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</si>
  <si>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</si>
  <si>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</si>
  <si>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</si>
  <si>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</si>
  <si>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</si>
  <si>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</si>
  <si>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</si>
  <si>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</si>
  <si>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</si>
  <si>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</si>
  <si>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</si>
  <si>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</si>
  <si>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</si>
  <si>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</si>
  <si>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</si>
  <si>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</si>
  <si>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</si>
  <si>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</si>
  <si>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</si>
  <si>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</si>
  <si>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</si>
  <si>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</si>
  <si>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</si>
  <si>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</si>
  <si>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</si>
  <si>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</si>
  <si>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</si>
  <si>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</si>
  <si>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</si>
  <si>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</si>
  <si>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</si>
  <si>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</si>
  <si>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</si>
  <si>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</si>
  <si>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</si>
  <si>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</si>
  <si>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</si>
  <si>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</si>
  <si>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</si>
  <si>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</si>
  <si>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</si>
  <si>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</si>
  <si>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</si>
  <si>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</si>
  <si>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</si>
  <si>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</si>
  <si>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</si>
  <si>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</si>
  <si>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</si>
  <si>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</si>
  <si>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</si>
  <si>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</si>
  <si>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</si>
  <si>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</si>
  <si>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</si>
  <si>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</si>
  <si>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</si>
  <si>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</si>
  <si>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</si>
  <si>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</si>
  <si>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</si>
  <si>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</si>
  <si>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</si>
  <si>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</si>
  <si>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</si>
  <si>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</si>
  <si>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</si>
  <si>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</si>
  <si>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</si>
  <si>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</si>
  <si>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</si>
  <si>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</si>
  <si>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</si>
  <si>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</si>
  <si>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</si>
  <si>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</si>
  <si>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</si>
  <si>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</si>
  <si>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</si>
  <si>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</si>
  <si>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</si>
  <si>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</si>
  <si>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</si>
  <si>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</si>
  <si>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</si>
  <si>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</si>
  <si>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</si>
  <si>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</si>
  <si>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</si>
  <si>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</si>
  <si>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</si>
  <si>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</si>
  <si>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</si>
  <si>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</si>
  <si>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</si>
  <si>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</si>
  <si>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</si>
  <si>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</si>
  <si>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</si>
  <si>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</si>
  <si>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</si>
  <si>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</si>
  <si>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</si>
  <si>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</si>
  <si>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</si>
  <si>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</si>
  <si>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</si>
  <si>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</si>
  <si>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</si>
  <si>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</si>
  <si>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</si>
  <si>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</si>
  <si>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</si>
  <si>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</si>
  <si>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</si>
  <si>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</si>
  <si>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</si>
  <si>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</si>
  <si>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</si>
  <si>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</si>
  <si>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</si>
  <si>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</si>
  <si>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</si>
  <si>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</si>
  <si>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</si>
  <si>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</si>
  <si>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</si>
  <si>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</si>
  <si>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</si>
  <si>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</si>
  <si>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</si>
  <si>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</si>
  <si>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</si>
  <si>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</si>
  <si>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</si>
  <si>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</si>
  <si>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</si>
  <si>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</si>
  <si>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</si>
  <si>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</si>
  <si>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</si>
  <si>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</si>
  <si>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</si>
  <si>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</si>
  <si>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</si>
  <si>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</si>
  <si>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</si>
  <si>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</si>
  <si>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</si>
  <si>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</si>
  <si>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</si>
  <si>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</si>
  <si>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</si>
  <si>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</si>
  <si>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</si>
  <si>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</si>
  <si>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</si>
  <si>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</si>
  <si>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</si>
  <si>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</si>
  <si>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</si>
  <si>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</si>
  <si>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</si>
  <si>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</si>
  <si>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</si>
  <si>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</si>
  <si>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</si>
  <si>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</si>
  <si>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</si>
  <si>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</si>
  <si>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</si>
  <si>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</si>
  <si>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</si>
  <si>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</si>
  <si>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</si>
  <si>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</si>
  <si>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</si>
  <si>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</si>
  <si>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</si>
  <si>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</si>
  <si>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</si>
  <si>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</si>
  <si>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</si>
  <si>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</si>
  <si>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</si>
  <si>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</si>
  <si>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</si>
  <si>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</si>
  <si>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</si>
  <si>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</si>
  <si>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</si>
  <si>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</si>
  <si>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</si>
  <si>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</si>
  <si>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</si>
  <si>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</si>
  <si>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</si>
  <si>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</si>
  <si>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</si>
  <si>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</si>
  <si>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</si>
  <si>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</si>
  <si>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</si>
  <si>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</si>
  <si>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</si>
  <si>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</si>
  <si>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</si>
  <si>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</si>
  <si>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</si>
  <si>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</si>
  <si>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</si>
  <si>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</si>
  <si>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</si>
  <si>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</si>
  <si>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</si>
  <si>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</si>
  <si>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</si>
  <si>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</si>
  <si>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</si>
  <si>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</si>
  <si>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</si>
  <si>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</si>
  <si>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</si>
  <si>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</si>
  <si>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</si>
  <si>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</si>
  <si>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</si>
  <si>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</si>
  <si>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</si>
  <si>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</si>
  <si>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</si>
  <si>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</si>
  <si>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</si>
  <si>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</si>
  <si>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</si>
  <si>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</si>
  <si>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</si>
  <si>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</si>
  <si>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</si>
  <si>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</si>
  <si>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</si>
  <si>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</si>
  <si>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</si>
  <si>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</si>
  <si>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</si>
  <si>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</si>
  <si>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</si>
  <si>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</si>
  <si>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</si>
  <si>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</si>
  <si>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</si>
  <si>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</si>
  <si>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</si>
  <si>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</si>
  <si>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</si>
  <si>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</si>
  <si>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</si>
  <si>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</si>
  <si>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</si>
  <si>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</si>
  <si>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</si>
  <si>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</si>
  <si>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</si>
  <si>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</si>
  <si>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</si>
  <si>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</si>
  <si>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</si>
  <si>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</si>
  <si>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</si>
  <si>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</si>
  <si>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</si>
  <si>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</si>
  <si>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</si>
  <si>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</si>
  <si>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</si>
  <si>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</si>
  <si>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</si>
  <si>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</si>
  <si>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</si>
  <si>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</si>
  <si>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</si>
  <si>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</si>
  <si>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</si>
  <si>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</si>
  <si>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</si>
  <si>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</si>
  <si>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</si>
  <si>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</si>
  <si>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</si>
  <si>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</si>
  <si>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</si>
  <si>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</si>
  <si>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</si>
  <si>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</si>
  <si>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</si>
  <si>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</si>
  <si>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</si>
  <si>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</si>
  <si>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</si>
  <si>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</si>
  <si>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</si>
  <si>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</si>
  <si>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</si>
  <si>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</si>
  <si>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</si>
  <si>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</si>
  <si>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</si>
  <si>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</si>
  <si>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</si>
  <si>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</si>
  <si>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</si>
  <si>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</si>
  <si>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</si>
  <si>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</si>
  <si>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</si>
  <si>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</si>
  <si>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</si>
  <si>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</si>
  <si>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</si>
  <si>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</si>
  <si>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</si>
  <si>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</si>
  <si>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</si>
  <si>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</si>
  <si>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</si>
  <si>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</si>
  <si>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</si>
  <si>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</si>
  <si>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</si>
  <si>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</si>
  <si>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</si>
  <si>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</si>
  <si>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</si>
  <si>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</si>
  <si>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</si>
  <si>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</si>
  <si>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</si>
  <si>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</si>
  <si>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</si>
  <si>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</si>
  <si>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</si>
  <si>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</si>
  <si>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</si>
  <si>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</si>
  <si>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</si>
  <si>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</si>
  <si>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</si>
  <si>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</si>
  <si>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</si>
  <si>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</si>
  <si>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</si>
  <si>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</si>
  <si>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</si>
  <si>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</si>
  <si>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</si>
  <si>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</si>
  <si>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</si>
  <si>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</si>
  <si>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</si>
  <si>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</si>
  <si>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</si>
  <si>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</si>
  <si>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</si>
  <si>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</si>
  <si>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</si>
  <si>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</si>
  <si>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</si>
  <si>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</si>
  <si>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</si>
  <si>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</si>
  <si>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</si>
  <si>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</si>
  <si>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</si>
  <si>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</si>
  <si>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</si>
  <si>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</si>
  <si>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</si>
  <si>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</si>
  <si>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</si>
  <si>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</si>
  <si>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</si>
  <si>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</si>
  <si>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</si>
  <si>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</si>
  <si>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</si>
  <si>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</si>
  <si>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</si>
  <si>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</si>
  <si>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</si>
  <si>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</si>
  <si>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</si>
  <si>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</si>
  <si>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</si>
  <si>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</si>
  <si>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</si>
  <si>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</si>
  <si>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</si>
  <si>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</si>
  <si>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</si>
  <si>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</si>
  <si>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</si>
  <si>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</si>
  <si>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</si>
  <si>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</si>
  <si>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</si>
  <si>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</si>
  <si>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</si>
  <si>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</si>
  <si>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</si>
  <si>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</si>
  <si>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</si>
  <si>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</si>
  <si>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</si>
  <si>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</si>
  <si>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</si>
  <si>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</si>
  <si>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</si>
  <si>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</si>
  <si>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</si>
  <si>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</si>
  <si>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</si>
  <si>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</si>
  <si>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</si>
  <si>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</si>
  <si>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</si>
  <si>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</si>
  <si>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</si>
  <si>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</si>
  <si>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</si>
  <si>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</si>
  <si>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</si>
  <si>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</si>
  <si>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</si>
  <si>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</si>
  <si>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</si>
  <si>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</si>
  <si>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</si>
  <si>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</si>
  <si>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</si>
  <si>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</si>
  <si>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</si>
  <si>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</si>
  <si>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</si>
  <si>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</si>
  <si>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</si>
  <si>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</si>
  <si>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</si>
  <si>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</si>
  <si>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</si>
  <si>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</si>
  <si>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</si>
  <si>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</si>
  <si>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</si>
  <si>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</si>
  <si>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</si>
  <si>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</si>
  <si>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</si>
  <si>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</si>
  <si>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</si>
  <si>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</si>
  <si>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</si>
  <si>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</si>
  <si>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</si>
  <si>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</si>
  <si>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</si>
  <si>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</si>
  <si>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</si>
  <si>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</si>
  <si>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</si>
  <si>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</si>
  <si>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</si>
  <si>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</si>
  <si>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</si>
  <si>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</si>
  <si>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</si>
  <si>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</si>
  <si>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</si>
  <si>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</si>
  <si>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</si>
  <si>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</si>
  <si>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</si>
  <si>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</si>
  <si>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</si>
  <si>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</si>
  <si>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</si>
  <si>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</si>
  <si>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</si>
  <si>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</si>
  <si>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</si>
  <si>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</si>
  <si>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</si>
  <si>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</si>
  <si>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</si>
  <si>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</si>
  <si>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</si>
  <si>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</si>
  <si>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</si>
  <si>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</si>
  <si>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</si>
  <si>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</si>
  <si>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</si>
  <si>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</si>
  <si>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</si>
  <si>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</si>
  <si>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</si>
  <si>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</si>
  <si>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</si>
  <si>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</si>
  <si>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</si>
  <si>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</si>
  <si>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</si>
  <si>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</si>
  <si>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</si>
  <si>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</si>
  <si>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</si>
  <si>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</si>
  <si>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</si>
  <si>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</si>
  <si>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</si>
  <si>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</si>
  <si>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</si>
  <si>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</si>
  <si>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</si>
  <si>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</si>
  <si>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</si>
  <si>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</si>
  <si>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</si>
  <si>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</si>
  <si>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</si>
  <si>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</si>
  <si>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</si>
  <si>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</si>
  <si>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</si>
  <si>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</si>
  <si>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</si>
  <si>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</si>
  <si>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</si>
  <si>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</si>
  <si>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</si>
  <si>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</si>
  <si>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</si>
  <si>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</si>
  <si>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</si>
  <si>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</si>
  <si>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</si>
  <si>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</si>
  <si>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</si>
  <si>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</si>
  <si>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</si>
  <si>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</si>
  <si>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</si>
  <si>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</si>
  <si>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</si>
  <si>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</si>
  <si>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</si>
  <si>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</si>
  <si>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</si>
  <si>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</si>
  <si>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</si>
  <si>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</si>
  <si>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</si>
  <si>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</si>
  <si>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</si>
  <si>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</si>
  <si>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</si>
  <si>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</si>
  <si>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</si>
  <si>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</si>
  <si>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</si>
  <si>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</si>
  <si>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</si>
  <si>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</si>
  <si>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</si>
  <si>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</si>
  <si>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</si>
  <si>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</si>
  <si>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</si>
  <si>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</si>
  <si>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</si>
  <si>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</si>
  <si>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</si>
  <si>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</si>
  <si>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</si>
  <si>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</si>
  <si>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</si>
  <si>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</si>
  <si>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</si>
  <si>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</si>
  <si>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</si>
  <si>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</si>
  <si>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</si>
  <si>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</si>
  <si>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</si>
  <si>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</si>
  <si>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</si>
  <si>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</si>
  <si>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</si>
  <si>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</si>
  <si>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</si>
  <si>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</si>
  <si>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</si>
  <si>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</si>
  <si>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</si>
  <si>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</si>
  <si>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</si>
  <si>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</si>
  <si>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</si>
  <si>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</si>
  <si>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</si>
  <si>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</si>
  <si>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</si>
  <si>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</si>
  <si>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</si>
  <si>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</si>
  <si>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</si>
  <si>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</si>
  <si>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</si>
  <si>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</si>
  <si>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</si>
  <si>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</si>
  <si>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</si>
  <si>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</si>
  <si>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</si>
  <si>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</si>
  <si>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</si>
  <si>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</si>
  <si>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</si>
  <si>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</si>
  <si>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</si>
  <si>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</si>
  <si>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</si>
  <si>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</si>
  <si>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</si>
  <si>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</si>
  <si>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</si>
  <si>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</si>
  <si>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</si>
  <si>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</si>
  <si>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</si>
  <si>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</si>
  <si>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</si>
  <si>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</si>
  <si>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</si>
  <si>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</si>
  <si>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</si>
  <si>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</si>
  <si>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</si>
  <si>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</si>
  <si>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</si>
  <si>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</si>
  <si>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</si>
  <si>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</si>
  <si>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</si>
  <si>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</si>
  <si>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</si>
  <si>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</si>
  <si>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</si>
  <si>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</si>
  <si>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</si>
  <si>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</si>
  <si>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</si>
  <si>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</si>
  <si>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</si>
  <si>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</si>
  <si>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</si>
  <si>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</si>
  <si>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</si>
  <si>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</si>
  <si>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</si>
  <si>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</si>
  <si>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</si>
  <si>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</si>
  <si>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</si>
  <si>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</si>
  <si>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</si>
  <si>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</si>
  <si>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</si>
  <si>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</si>
  <si>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</si>
  <si>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</si>
  <si>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</si>
  <si>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</si>
  <si>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</si>
  <si>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</si>
  <si>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</si>
  <si>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</si>
  <si>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</si>
  <si>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</si>
  <si>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</si>
  <si>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</si>
  <si>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</si>
  <si>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</si>
  <si>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</si>
  <si>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</si>
  <si>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</si>
  <si>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</si>
  <si>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</si>
  <si>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</si>
  <si>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</si>
  <si>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</si>
  <si>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</si>
  <si>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</si>
  <si>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</si>
  <si>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</si>
  <si>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</si>
  <si>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</si>
  <si>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</si>
  <si>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</si>
  <si>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</si>
  <si>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</si>
  <si>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</si>
  <si>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</si>
  <si>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</si>
  <si>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</si>
  <si>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</si>
  <si>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</si>
  <si>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</si>
  <si>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</si>
  <si>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</si>
  <si>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</si>
  <si>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</si>
  <si>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</si>
  <si>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</si>
  <si>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</si>
  <si>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</si>
  <si>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</si>
  <si>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</si>
  <si>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</si>
  <si>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</si>
  <si>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</si>
  <si>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</si>
  <si>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</si>
  <si>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</si>
  <si>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</si>
  <si>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</si>
  <si>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</si>
  <si>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</si>
  <si>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</si>
  <si>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</si>
  <si>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</si>
  <si>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</si>
  <si>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</si>
  <si>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</si>
  <si>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</si>
  <si>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</si>
  <si>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</si>
  <si>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</si>
  <si>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</si>
  <si>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</si>
  <si>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</si>
  <si>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</si>
  <si>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</si>
  <si>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</si>
  <si>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</si>
  <si>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</si>
  <si>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</si>
  <si>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</si>
  <si>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</si>
  <si>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</si>
  <si>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</si>
  <si>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</si>
  <si>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</si>
  <si>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</si>
  <si>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</si>
  <si>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</si>
  <si>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</si>
  <si>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</si>
  <si>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</si>
  <si>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</si>
  <si>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</si>
  <si>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</si>
  <si>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</si>
  <si>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</si>
  <si>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</si>
  <si>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</si>
  <si>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</si>
  <si>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</si>
  <si>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</si>
  <si>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</si>
  <si>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</si>
  <si>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</si>
  <si>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</si>
  <si>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</si>
  <si>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</si>
  <si>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</si>
  <si>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</si>
  <si>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</si>
  <si>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</si>
  <si>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</si>
  <si>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</si>
  <si>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</si>
  <si>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</si>
  <si>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</si>
  <si>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</si>
  <si>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</si>
  <si>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</si>
  <si>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</si>
  <si>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</si>
  <si>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</si>
  <si>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</si>
  <si>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</si>
  <si>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</si>
  <si>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</si>
  <si>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</si>
  <si>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</si>
  <si>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</si>
  <si>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</si>
  <si>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</si>
  <si>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</si>
  <si>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</si>
  <si>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</si>
  <si>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</si>
  <si>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</si>
  <si>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</si>
  <si>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</si>
  <si>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</si>
  <si>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</si>
  <si>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</si>
  <si>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</si>
  <si>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</si>
  <si>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</si>
  <si>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</si>
  <si>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</si>
  <si>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</si>
  <si>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</si>
  <si>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</si>
  <si>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</si>
  <si>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</si>
  <si>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</si>
  <si>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</si>
  <si>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</si>
  <si>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</si>
  <si>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</si>
  <si>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</si>
  <si>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</si>
  <si>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</si>
  <si>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</si>
  <si>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</si>
  <si>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</si>
  <si>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</si>
  <si>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</si>
  <si>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</si>
  <si>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</si>
  <si>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</si>
  <si>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</si>
  <si>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</si>
  <si>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</si>
  <si>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</si>
  <si>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</si>
  <si>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</si>
  <si>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</si>
  <si>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</si>
  <si>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</si>
  <si>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</si>
  <si>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</si>
  <si>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</si>
  <si>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</si>
  <si>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</si>
  <si>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</si>
  <si>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</si>
  <si>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</si>
  <si>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</si>
  <si>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</si>
  <si>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</si>
  <si>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</si>
  <si>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</si>
  <si>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</si>
  <si>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</si>
  <si>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</si>
  <si>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</si>
  <si>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</si>
  <si>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</si>
  <si>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</si>
  <si>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</si>
  <si>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</si>
  <si>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</si>
  <si>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</si>
  <si>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</si>
  <si>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</si>
  <si>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</si>
  <si>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</si>
  <si>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</si>
  <si>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</si>
  <si>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</si>
  <si>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</si>
  <si>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</si>
  <si>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</si>
  <si>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</si>
  <si>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</si>
  <si>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</si>
  <si>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</si>
  <si>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</si>
  <si>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</si>
  <si>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</si>
  <si>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</si>
  <si>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</si>
  <si>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</si>
  <si>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</si>
  <si>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</si>
  <si>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</si>
  <si>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</si>
  <si>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</si>
  <si>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</si>
  <si>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</si>
  <si>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</si>
  <si>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</si>
  <si>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</si>
  <si>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</si>
  <si>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</si>
  <si>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</si>
  <si>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</si>
  <si>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</si>
  <si>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</si>
  <si>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</si>
  <si>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</si>
  <si>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</si>
  <si>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</si>
  <si>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</si>
  <si>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</si>
  <si>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</si>
  <si>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</si>
  <si>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</si>
  <si>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</si>
  <si>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</si>
  <si>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</si>
  <si>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</si>
  <si>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</si>
  <si>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</si>
  <si>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</si>
  <si>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</si>
  <si>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</si>
  <si>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</si>
  <si>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</si>
  <si>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</si>
  <si>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</si>
  <si>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</si>
  <si>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</si>
  <si>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</si>
  <si>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</si>
  <si>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</si>
  <si>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</si>
  <si>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</si>
  <si>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</si>
  <si>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</si>
  <si>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</si>
  <si>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</si>
  <si>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</si>
  <si>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</si>
  <si>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</si>
  <si>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</si>
  <si>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</si>
  <si>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</si>
  <si>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</si>
  <si>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</si>
  <si>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</si>
  <si>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</si>
  <si>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</si>
  <si>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</si>
  <si>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</si>
  <si>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</si>
  <si>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</si>
  <si>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</si>
  <si>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</si>
  <si>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</si>
  <si>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</si>
  <si>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</si>
  <si>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</si>
  <si>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</si>
  <si>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</si>
  <si>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</si>
  <si>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</si>
  <si>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</si>
  <si>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</si>
  <si>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</si>
  <si>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</si>
  <si>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</si>
  <si>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</si>
  <si>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</si>
  <si>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</si>
  <si>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</si>
  <si>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</si>
  <si>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</si>
  <si>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</si>
  <si>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</si>
  <si>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</si>
  <si>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</si>
  <si>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</si>
  <si>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</si>
  <si>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</si>
  <si>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</si>
  <si>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</si>
  <si>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</si>
  <si>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</si>
  <si>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</si>
  <si>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</si>
  <si>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</si>
  <si>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</si>
  <si>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</si>
  <si>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</si>
  <si>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</si>
  <si>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</si>
  <si>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</si>
  <si>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</si>
  <si>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</si>
  <si>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</si>
  <si>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</si>
  <si>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</si>
  <si>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</si>
  <si>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</si>
  <si>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</si>
  <si>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</si>
  <si>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</si>
  <si>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</si>
  <si>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</si>
  <si>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</si>
  <si>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</si>
  <si>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</si>
  <si>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</si>
  <si>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</si>
  <si>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</si>
  <si>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</si>
  <si>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</si>
  <si>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</si>
  <si>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</si>
  <si>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</si>
  <si>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</si>
  <si>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</si>
  <si>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</si>
  <si>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</si>
  <si>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</si>
  <si>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</si>
  <si>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</si>
  <si>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</si>
  <si>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</si>
  <si>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</si>
  <si>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</si>
  <si>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</si>
  <si>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</si>
  <si>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</si>
  <si>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</si>
  <si>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</si>
  <si>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</si>
  <si>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</si>
  <si>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</si>
  <si>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</si>
  <si>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</si>
  <si>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</si>
  <si>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</si>
  <si>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</si>
  <si>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</si>
  <si>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</si>
  <si>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</si>
  <si>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</si>
  <si>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</si>
  <si>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</si>
  <si>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</si>
  <si>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</si>
  <si>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</si>
  <si>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</si>
  <si>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</si>
  <si>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</si>
  <si>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</si>
  <si>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</si>
  <si>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</si>
  <si>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</si>
  <si>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</si>
  <si>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</si>
  <si>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</si>
  <si>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</si>
  <si>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</si>
  <si>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</si>
  <si>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</si>
  <si>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</si>
  <si>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</si>
  <si>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</si>
  <si>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</si>
  <si>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</si>
  <si>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</si>
  <si>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</si>
  <si>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</si>
  <si>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</si>
  <si>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</si>
  <si>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</si>
  <si>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</si>
  <si>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</si>
  <si>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</si>
  <si>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</si>
  <si>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</si>
  <si>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</si>
  <si>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</si>
  <si>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</si>
  <si>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</si>
  <si>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</si>
  <si>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</si>
  <si>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</si>
  <si>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</si>
  <si>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</si>
  <si>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</si>
  <si>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</si>
  <si>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</si>
  <si>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</si>
  <si>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</si>
  <si>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</si>
  <si>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</si>
  <si>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</si>
  <si>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</si>
  <si>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</si>
  <si>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</si>
  <si>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</si>
  <si>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</si>
  <si>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</si>
  <si>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</si>
  <si>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</si>
  <si>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</si>
  <si>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</si>
  <si>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</si>
  <si>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</si>
  <si>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</si>
  <si>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</si>
  <si>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</si>
  <si>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</si>
  <si>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</si>
  <si>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</si>
  <si>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</si>
  <si>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</si>
  <si>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</si>
  <si>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</si>
  <si>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</si>
  <si>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</si>
  <si>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</si>
  <si>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</si>
  <si>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</si>
  <si>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</si>
  <si>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</si>
  <si>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</si>
  <si>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</si>
  <si>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</si>
  <si>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</si>
  <si>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</si>
  <si>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</si>
  <si>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</si>
  <si>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</si>
  <si>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</si>
  <si>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</si>
  <si>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</si>
  <si>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</si>
  <si>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</si>
  <si>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</si>
  <si>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</si>
  <si>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</si>
  <si>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</si>
  <si>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</si>
  <si>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</si>
  <si>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</si>
  <si>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</si>
  <si>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</si>
  <si>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</si>
  <si>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</si>
  <si>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</si>
  <si>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</si>
  <si>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</si>
  <si>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</si>
  <si>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</si>
  <si>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</si>
  <si>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</si>
  <si>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</si>
  <si>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</si>
  <si>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</si>
  <si>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</si>
  <si>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</si>
  <si>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</si>
  <si>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</si>
  <si>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</si>
  <si>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</si>
  <si>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</si>
  <si>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</si>
  <si>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</si>
  <si>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</si>
  <si>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</si>
  <si>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</si>
  <si>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</si>
  <si>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</si>
  <si>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</si>
  <si>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</si>
  <si>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</si>
  <si>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</si>
  <si>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</si>
  <si>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</si>
  <si>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</si>
  <si>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</si>
  <si>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</si>
  <si>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</si>
  <si>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</si>
  <si>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</si>
  <si>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</si>
  <si>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</si>
  <si>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</si>
  <si>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</si>
  <si>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</si>
  <si>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</si>
  <si>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</si>
  <si>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</si>
  <si>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</si>
  <si>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</si>
  <si>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</si>
  <si>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</si>
  <si>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</si>
  <si>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</si>
  <si>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</si>
  <si>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</si>
  <si>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</si>
  <si>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</si>
  <si>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</si>
  <si>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</si>
  <si>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</si>
  <si>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</si>
  <si>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</si>
  <si>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</si>
  <si>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</si>
  <si>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</si>
  <si>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</si>
  <si>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</si>
  <si>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</si>
  <si>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</si>
  <si>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</si>
  <si>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</si>
  <si>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</si>
  <si>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</si>
  <si>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</si>
  <si>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</si>
  <si>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</si>
  <si>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</si>
  <si>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</si>
  <si>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</si>
  <si>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</si>
  <si>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</si>
  <si>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</si>
  <si>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</si>
  <si>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</si>
  <si>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</si>
  <si>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</si>
  <si>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</si>
  <si>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</si>
  <si>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</si>
  <si>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</si>
  <si>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</si>
  <si>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</si>
  <si>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</si>
  <si>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</si>
  <si>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</si>
  <si>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</si>
  <si>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</si>
  <si>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</si>
  <si>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</si>
  <si>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</si>
  <si>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</si>
  <si>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</si>
  <si>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</si>
  <si>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</si>
  <si>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</si>
  <si>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</si>
  <si>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</si>
  <si>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</si>
  <si>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</si>
  <si>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</si>
  <si>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</si>
  <si>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</si>
  <si>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</si>
  <si>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</si>
  <si>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</si>
  <si>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</si>
  <si>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</si>
  <si>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</si>
  <si>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</si>
  <si>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</si>
  <si>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</si>
  <si>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</si>
  <si>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</si>
  <si>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</si>
  <si>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</si>
  <si>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</si>
  <si>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</si>
  <si>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</si>
  <si>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</si>
  <si>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</si>
  <si>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</si>
  <si>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</si>
  <si>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</si>
  <si>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</si>
  <si>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</si>
  <si>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</si>
  <si>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</si>
  <si>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</si>
  <si>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</si>
  <si>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</si>
  <si>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</si>
  <si>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</si>
  <si>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</si>
  <si>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</si>
  <si>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</si>
  <si>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</si>
  <si>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</si>
  <si>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</si>
  <si>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</si>
  <si>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</si>
  <si>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</si>
  <si>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</si>
  <si>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</si>
  <si>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</si>
  <si>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</si>
  <si>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</si>
  <si>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</si>
  <si>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</si>
  <si>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</si>
  <si>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</si>
  <si>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</si>
  <si>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</si>
  <si>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</si>
  <si>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</si>
  <si>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</si>
  <si>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</si>
  <si>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</si>
  <si>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</si>
  <si>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</si>
  <si>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</si>
  <si>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</si>
  <si>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</si>
  <si>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</si>
  <si>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</si>
  <si>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</si>
  <si>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</si>
  <si>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</si>
  <si>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</si>
  <si>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</si>
  <si>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</si>
  <si>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</si>
  <si>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</si>
  <si>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</si>
  <si>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</si>
  <si>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</si>
  <si>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</si>
  <si>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</si>
  <si>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</si>
  <si>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</si>
  <si>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</si>
  <si>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</si>
  <si>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</si>
  <si>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</si>
  <si>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</si>
  <si>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</si>
  <si>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</si>
  <si>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</si>
  <si>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</si>
  <si>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</si>
  <si>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</si>
  <si>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</si>
  <si>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</si>
  <si>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</si>
  <si>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</si>
  <si>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</si>
  <si>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</si>
  <si>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</si>
  <si>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</si>
  <si>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</si>
  <si>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</si>
  <si>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</si>
  <si>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</si>
  <si>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</si>
  <si>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</si>
  <si>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</si>
  <si>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</si>
  <si>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</si>
  <si>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</si>
  <si>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</si>
  <si>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</si>
  <si>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</si>
  <si>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</si>
  <si>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</si>
  <si>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</si>
  <si>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</si>
  <si>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</si>
  <si>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</si>
  <si>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</si>
  <si>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</si>
  <si>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</si>
  <si>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</si>
  <si>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</si>
  <si>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</si>
  <si>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</si>
  <si>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</si>
  <si>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</si>
  <si>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</si>
  <si>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</si>
  <si>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</si>
  <si>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</si>
  <si>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</si>
  <si>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</si>
  <si>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</si>
  <si>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</si>
  <si>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</si>
  <si>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</si>
  <si>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</si>
  <si>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</si>
  <si>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</si>
  <si>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</si>
  <si>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</si>
  <si>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</si>
  <si>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</si>
  <si>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</si>
  <si>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</si>
  <si>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</si>
  <si>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</si>
  <si>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</si>
  <si>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</si>
  <si>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</si>
  <si>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</si>
  <si>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</si>
  <si>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</si>
  <si>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</si>
  <si>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</si>
  <si>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</si>
  <si>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</si>
  <si>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</si>
  <si>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</si>
  <si>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</si>
  <si>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</si>
  <si>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</si>
  <si>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</si>
  <si>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</si>
  <si>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</si>
  <si>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</si>
  <si>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</si>
  <si>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</si>
  <si>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</si>
  <si>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</si>
  <si>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</si>
  <si>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</si>
  <si>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</si>
  <si>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</si>
  <si>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</si>
  <si>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</si>
  <si>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</si>
  <si>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</si>
  <si>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</si>
  <si>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</si>
  <si>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</si>
  <si>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</si>
  <si>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</si>
  <si>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</si>
  <si>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</si>
  <si>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</si>
  <si>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</si>
  <si>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</si>
  <si>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</si>
  <si>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</si>
  <si>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</si>
  <si>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</si>
  <si>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</si>
  <si>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</si>
  <si>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</si>
  <si>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</si>
  <si>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</si>
  <si>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</si>
  <si>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</si>
  <si>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</si>
  <si>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</si>
  <si>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</si>
  <si>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</si>
  <si>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</si>
  <si>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</si>
  <si>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</si>
  <si>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</si>
  <si>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</si>
  <si>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</si>
  <si>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</si>
  <si>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</si>
  <si>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</si>
  <si>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</si>
  <si>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</si>
  <si>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</si>
  <si>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</si>
  <si>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</si>
  <si>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</si>
  <si>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</si>
  <si>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</si>
  <si>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</si>
  <si>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</si>
  <si>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</si>
  <si>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</si>
  <si>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</si>
  <si>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</si>
  <si>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</si>
  <si>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</si>
  <si>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</si>
  <si>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</si>
  <si>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</si>
  <si>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</si>
  <si>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</si>
  <si>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</si>
  <si>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</si>
  <si>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</si>
  <si>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</si>
  <si>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</si>
  <si>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</si>
  <si>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</si>
  <si>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</si>
  <si>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</si>
  <si>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</si>
  <si>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</si>
  <si>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</si>
  <si>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</si>
  <si>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</si>
  <si>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</si>
  <si>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</si>
  <si>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</si>
  <si>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</si>
  <si>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</si>
  <si>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</si>
  <si>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</si>
  <si>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</si>
  <si>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</si>
  <si>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</si>
  <si>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</si>
  <si>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</si>
  <si>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</si>
  <si>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</si>
  <si>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</si>
  <si>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</si>
  <si>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</si>
  <si>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</si>
  <si>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</si>
  <si>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</si>
  <si>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</si>
  <si>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</si>
  <si>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</si>
  <si>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</si>
  <si>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</si>
  <si>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</si>
  <si>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</si>
  <si>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</si>
  <si>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</si>
  <si>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</si>
  <si>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</si>
  <si>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</si>
  <si>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</si>
  <si>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</si>
  <si>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</si>
  <si>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</si>
  <si>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</si>
  <si>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</si>
  <si>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</si>
  <si>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</si>
  <si>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</si>
  <si>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</si>
  <si>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</si>
  <si>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</si>
  <si>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</si>
  <si>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</si>
  <si>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</si>
  <si>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</si>
  <si>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</si>
  <si>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</si>
  <si>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</si>
  <si>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</si>
  <si>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</si>
  <si>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</si>
  <si>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</si>
  <si>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</si>
  <si>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</si>
  <si>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</si>
  <si>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</si>
  <si>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</si>
  <si>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</si>
  <si>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</si>
  <si>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</si>
  <si>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</si>
  <si>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</si>
  <si>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</si>
  <si>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</si>
  <si>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</si>
  <si>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</si>
  <si>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</si>
  <si>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</si>
  <si>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</si>
  <si>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</si>
  <si>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</si>
  <si>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</si>
  <si>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</si>
  <si>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</si>
  <si>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</si>
  <si>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</si>
  <si>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</si>
  <si>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</si>
  <si>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</si>
  <si>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</si>
  <si>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</si>
  <si>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</si>
  <si>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</si>
  <si>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</si>
  <si>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</si>
  <si>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</si>
  <si>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</si>
  <si>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</si>
  <si>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</si>
  <si>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</si>
  <si>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</si>
  <si>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</si>
  <si>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</si>
  <si>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</si>
  <si>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</si>
  <si>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</si>
  <si>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</si>
  <si>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</si>
  <si>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</si>
  <si>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</si>
  <si>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</si>
  <si>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</si>
  <si>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</si>
  <si>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</si>
  <si>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</si>
  <si>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</si>
  <si>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</si>
  <si>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</si>
  <si>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</si>
  <si>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</si>
  <si>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</si>
  <si>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</si>
  <si>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</si>
  <si>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</si>
  <si>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</si>
  <si>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</si>
  <si>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</si>
  <si>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</si>
  <si>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</si>
  <si>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</si>
  <si>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</si>
  <si>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</si>
  <si>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</si>
  <si>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</si>
  <si>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</si>
  <si>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</si>
  <si>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</si>
  <si>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</si>
  <si>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</si>
  <si>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</si>
  <si>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</si>
  <si>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</si>
  <si>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</si>
  <si>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</si>
  <si>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</si>
  <si>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</si>
  <si>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</si>
  <si>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</si>
  <si>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</si>
  <si>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</si>
  <si>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</si>
  <si>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</si>
  <si>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</si>
  <si>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</si>
  <si>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</si>
  <si>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</si>
  <si>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</si>
  <si>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</si>
  <si>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</si>
  <si>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</si>
  <si>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</si>
  <si>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</si>
  <si>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</si>
  <si>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</si>
  <si>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</si>
  <si>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</si>
  <si>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</si>
  <si>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</si>
  <si>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</si>
  <si>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</si>
  <si>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</si>
  <si>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</si>
  <si>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</si>
  <si>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</si>
  <si>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</si>
  <si>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</si>
  <si>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</si>
  <si>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</si>
  <si>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</si>
  <si>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</si>
  <si>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</si>
  <si>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</si>
  <si>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</si>
  <si>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</si>
  <si>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</si>
  <si>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</si>
  <si>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</si>
  <si>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</si>
  <si>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</si>
  <si>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</si>
  <si>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</si>
  <si>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</si>
  <si>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</si>
  <si>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</si>
  <si>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</si>
  <si>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</si>
  <si>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</si>
  <si>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</si>
  <si>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</si>
  <si>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</si>
  <si>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</si>
  <si>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</si>
  <si>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</si>
  <si>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</si>
  <si>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</si>
  <si>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</si>
  <si>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</si>
  <si>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</si>
  <si>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</si>
  <si>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</si>
  <si>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</si>
  <si>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</si>
  <si>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</si>
  <si>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</si>
  <si>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</si>
  <si>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</si>
  <si>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</si>
  <si>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</si>
  <si>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</si>
  <si>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</si>
  <si>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</si>
  <si>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</si>
  <si>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</si>
  <si>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</si>
  <si>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</si>
  <si>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</si>
  <si>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</si>
  <si>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</si>
  <si>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</si>
  <si>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</si>
  <si>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</si>
  <si>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</si>
  <si>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</si>
  <si>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</si>
  <si>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</si>
  <si>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</si>
  <si>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</si>
  <si>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</si>
  <si>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</si>
  <si>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</si>
  <si>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</si>
  <si>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</si>
  <si>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</si>
  <si>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</si>
  <si>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</si>
  <si>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</si>
  <si>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</si>
  <si>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</si>
  <si>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</si>
  <si>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</si>
  <si>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</si>
  <si>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</si>
  <si>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</si>
  <si>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</si>
  <si>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</si>
  <si>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</si>
  <si>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</si>
  <si>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</si>
  <si>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</si>
  <si>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</si>
  <si>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</si>
  <si>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</si>
  <si>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</si>
  <si>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</si>
  <si>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</si>
  <si>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</si>
  <si>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</si>
  <si>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</si>
  <si>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</si>
  <si>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</si>
  <si>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</si>
  <si>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</si>
  <si>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</si>
  <si>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</si>
  <si>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</si>
  <si>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</si>
  <si>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</si>
  <si>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</si>
  <si>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</si>
  <si>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</si>
  <si>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</si>
  <si>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</si>
  <si>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</si>
  <si>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</si>
  <si>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</si>
  <si>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</si>
  <si>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</si>
  <si>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</si>
  <si>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</si>
  <si>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</si>
  <si>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</si>
  <si>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</si>
  <si>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</si>
  <si>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</si>
  <si>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</si>
  <si>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</si>
  <si>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</si>
  <si>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</si>
  <si>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</si>
  <si>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</si>
  <si>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</si>
  <si>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</si>
  <si>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</si>
  <si>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</si>
  <si>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</si>
  <si>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</si>
  <si>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</si>
  <si>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</si>
  <si>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</si>
  <si>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</si>
  <si>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</si>
  <si>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</si>
  <si>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</si>
  <si>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</si>
  <si>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</si>
  <si>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</si>
  <si>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</si>
  <si>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</si>
  <si>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</si>
  <si>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</si>
  <si>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</si>
  <si>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</si>
  <si>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</si>
  <si>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</si>
  <si>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</si>
  <si>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</si>
  <si>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</si>
  <si>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</si>
  <si>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</si>
  <si>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</si>
  <si>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</si>
  <si>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</si>
  <si>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</si>
  <si>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</si>
  <si>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</si>
  <si>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</si>
  <si>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</si>
  <si>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</si>
  <si>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</si>
  <si>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</si>
  <si>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</si>
  <si>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</si>
  <si>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</si>
  <si>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</si>
  <si>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</si>
  <si>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</si>
  <si>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</si>
  <si>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</si>
  <si>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</si>
  <si>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</si>
  <si>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</si>
  <si>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</si>
  <si>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</si>
  <si>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</si>
  <si>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</si>
  <si>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</si>
  <si>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</si>
  <si>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</si>
  <si>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</si>
  <si>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</si>
  <si>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</si>
  <si>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</si>
  <si>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</si>
  <si>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</si>
  <si>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</si>
  <si>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</si>
  <si>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</si>
  <si>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</si>
  <si>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</si>
  <si>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</si>
  <si>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</si>
  <si>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</si>
  <si>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</si>
  <si>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</si>
  <si>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</si>
  <si>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</si>
  <si>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</si>
  <si>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</si>
  <si>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</si>
  <si>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</si>
  <si>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</si>
  <si>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</si>
  <si>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</si>
  <si>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</si>
  <si>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</si>
  <si>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</si>
  <si>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</si>
  <si>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</si>
  <si>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</si>
  <si>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</si>
  <si>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</si>
  <si>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</si>
  <si>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</si>
  <si>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</si>
  <si>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</si>
  <si>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</si>
  <si>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</si>
  <si>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</si>
  <si>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</si>
  <si>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</si>
  <si>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</si>
  <si>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</si>
  <si>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</si>
  <si>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</si>
  <si>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</si>
  <si>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</si>
  <si>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</si>
  <si>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</si>
  <si>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</si>
  <si>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</si>
  <si>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</si>
  <si>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</si>
  <si>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</si>
  <si>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</si>
  <si>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</si>
  <si>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</si>
  <si>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</si>
  <si>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</si>
  <si>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</si>
  <si>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</si>
  <si>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</si>
  <si>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</si>
  <si>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</si>
  <si>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</si>
  <si>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</si>
  <si>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</si>
  <si>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</si>
  <si>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</si>
  <si>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</si>
  <si>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</si>
  <si>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</si>
  <si>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</si>
  <si>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</si>
  <si>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</si>
  <si>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</si>
  <si>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</si>
  <si>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</si>
  <si>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</si>
  <si>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</si>
  <si>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</si>
  <si>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</si>
  <si>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</si>
  <si>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</si>
  <si>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</si>
  <si>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</si>
  <si>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</si>
  <si>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</si>
  <si>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</si>
  <si>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</si>
  <si>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</si>
  <si>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</si>
  <si>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</si>
  <si>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</si>
  <si>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</si>
  <si>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</si>
  <si>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</si>
  <si>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</si>
  <si>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</si>
  <si>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</si>
  <si>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</si>
  <si>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</si>
  <si>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</si>
  <si>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</si>
  <si>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</si>
  <si>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</si>
  <si>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</si>
  <si>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</si>
  <si>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</si>
  <si>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</si>
  <si>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</si>
  <si>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</si>
  <si>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</si>
  <si>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</si>
  <si>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</si>
  <si>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</si>
  <si>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</si>
  <si>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</si>
  <si>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</si>
  <si>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</si>
  <si>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</si>
  <si>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</si>
  <si>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</si>
  <si>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</si>
  <si>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</si>
  <si>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</si>
  <si>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</si>
  <si>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</si>
  <si>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</si>
  <si>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</si>
  <si>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</si>
  <si>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</si>
  <si>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</si>
  <si>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</si>
  <si>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</si>
  <si>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</si>
  <si>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</si>
  <si>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</si>
  <si>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</si>
  <si>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</si>
  <si>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</si>
  <si>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</si>
  <si>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</si>
  <si>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</si>
  <si>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</si>
  <si>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</si>
  <si>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</si>
  <si>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</si>
  <si>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</si>
  <si>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</si>
  <si>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</si>
  <si>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</si>
  <si>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</si>
  <si>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</si>
  <si>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</si>
  <si>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</si>
  <si>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</si>
  <si>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</si>
  <si>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</si>
  <si>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</si>
  <si>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</si>
  <si>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</si>
  <si>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</si>
  <si>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</si>
  <si>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</si>
  <si>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</si>
  <si>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</si>
  <si>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</si>
  <si>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</si>
  <si>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</si>
  <si>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</si>
  <si>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</si>
  <si>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</si>
  <si>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</si>
  <si>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</si>
  <si>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</si>
  <si>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</si>
  <si>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</si>
  <si>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</si>
  <si>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</si>
  <si>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</si>
  <si>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</si>
  <si>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</si>
  <si>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</si>
  <si>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</si>
  <si>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</si>
  <si>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</si>
  <si>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</si>
  <si>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</si>
  <si>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</si>
  <si>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</si>
  <si>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</si>
  <si>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</si>
  <si>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</si>
  <si>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</si>
  <si>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</si>
  <si>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</si>
  <si>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</si>
  <si>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</si>
  <si>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</si>
  <si>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</si>
  <si>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</si>
  <si>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</si>
  <si>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</si>
  <si>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</si>
  <si>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</si>
  <si>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</si>
  <si>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</si>
  <si>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</si>
  <si>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</si>
  <si>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</si>
  <si>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</si>
  <si>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</si>
  <si>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</si>
  <si>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</si>
  <si>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</si>
  <si>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</si>
  <si>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</si>
  <si>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</si>
  <si>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</si>
  <si>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</si>
  <si>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</si>
  <si>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</si>
  <si>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</si>
  <si>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</si>
  <si>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</si>
  <si>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</si>
  <si>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</si>
  <si>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</si>
  <si>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</si>
  <si>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</si>
  <si>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</si>
  <si>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</si>
  <si>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</si>
  <si>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</si>
  <si>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</si>
  <si>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</si>
  <si>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</si>
  <si>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</si>
  <si>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</si>
  <si>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</si>
  <si>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</si>
  <si>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</si>
  <si>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</si>
  <si>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</si>
  <si>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</si>
  <si>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</si>
  <si>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</si>
  <si>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</si>
  <si>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</si>
  <si>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</si>
  <si>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</si>
  <si>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</si>
  <si>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</si>
  <si>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</si>
  <si>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</si>
  <si>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</si>
  <si>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</si>
  <si>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</si>
  <si>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</si>
  <si>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</si>
  <si>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</si>
  <si>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</si>
  <si>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</si>
  <si>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</si>
  <si>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</si>
  <si>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</si>
  <si>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</si>
  <si>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</si>
  <si>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</si>
  <si>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</si>
  <si>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</si>
  <si>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</si>
  <si>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</si>
  <si>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</si>
  <si>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</si>
  <si>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</si>
  <si>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</si>
  <si>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</si>
  <si>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</si>
  <si>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</si>
  <si>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</si>
  <si>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</si>
  <si>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</si>
  <si>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</si>
  <si>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</si>
  <si>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</si>
  <si>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</si>
  <si>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</si>
  <si>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</si>
  <si>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</si>
  <si>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</si>
  <si>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</si>
  <si>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</si>
  <si>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</si>
  <si>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</si>
  <si>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</si>
  <si>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</si>
  <si>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</si>
  <si>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</si>
  <si>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</si>
  <si>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</si>
  <si>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</si>
  <si>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</si>
  <si>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</si>
  <si>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</si>
  <si>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</si>
  <si>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</si>
  <si>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</si>
  <si>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</si>
  <si>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</si>
  <si>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</si>
  <si>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</si>
  <si>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</si>
  <si>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</si>
  <si>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</si>
  <si>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</si>
  <si>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</si>
  <si>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</si>
  <si>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</si>
  <si>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</si>
  <si>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</si>
  <si>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</si>
  <si>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</si>
  <si>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</si>
  <si>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</si>
  <si>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</si>
  <si>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</si>
  <si>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</si>
  <si>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</si>
  <si>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</si>
  <si>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</si>
  <si>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</si>
  <si>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</si>
  <si>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</si>
  <si>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</si>
  <si>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</si>
  <si>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</si>
  <si>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</si>
  <si>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</si>
  <si>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</si>
  <si>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</si>
  <si>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</si>
  <si>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</si>
  <si>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</si>
  <si>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</si>
  <si>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</si>
  <si>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</si>
  <si>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</si>
  <si>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</si>
  <si>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</si>
  <si>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</si>
  <si>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</si>
  <si>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</si>
  <si>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</si>
  <si>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</si>
  <si>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</si>
  <si>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</si>
  <si>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</si>
  <si>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</si>
  <si>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</si>
  <si>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</si>
  <si>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</si>
  <si>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</si>
  <si>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</si>
  <si>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</si>
  <si>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</si>
  <si>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</si>
  <si>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</si>
  <si>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</si>
  <si>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</si>
  <si>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</si>
  <si>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</si>
  <si>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</si>
  <si>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</si>
  <si>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</si>
  <si>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</si>
  <si>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</si>
  <si>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</si>
  <si>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</si>
  <si>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</si>
  <si>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</si>
  <si>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</si>
  <si>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</si>
  <si>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</si>
  <si>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</si>
  <si>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</si>
  <si>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</si>
  <si>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</si>
  <si>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</si>
  <si>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</si>
  <si>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</si>
  <si>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</si>
  <si>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</si>
  <si>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</si>
  <si>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</si>
  <si>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</si>
  <si>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</si>
  <si>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</si>
  <si>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</si>
  <si>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</si>
  <si>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</si>
  <si>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</si>
  <si>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</si>
  <si>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</si>
  <si>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</si>
  <si>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</si>
  <si>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</si>
  <si>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</si>
  <si>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</si>
  <si>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</si>
  <si>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</si>
  <si>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</si>
  <si>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</si>
  <si>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</si>
  <si>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</si>
  <si>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</si>
  <si>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</si>
  <si>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</si>
  <si>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</si>
  <si>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</si>
  <si>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</si>
  <si>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</si>
  <si>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</si>
  <si>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</si>
  <si>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</si>
  <si>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</si>
  <si>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</si>
  <si>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</si>
  <si>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</si>
  <si>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</si>
  <si>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</si>
  <si>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</si>
  <si>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</si>
  <si>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</si>
  <si>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</si>
  <si>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</si>
  <si>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</si>
  <si>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</si>
  <si>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</si>
  <si>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</si>
  <si>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</si>
  <si>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</si>
  <si>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</si>
  <si>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</si>
  <si>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</si>
  <si>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</si>
  <si>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</si>
  <si>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</si>
  <si>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</si>
  <si>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</si>
  <si>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</si>
  <si>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</si>
  <si>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</si>
  <si>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</si>
  <si>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</si>
  <si>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</si>
  <si>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</si>
  <si>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</si>
  <si>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</si>
  <si>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</si>
  <si>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</si>
  <si>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</si>
  <si>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</si>
  <si>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</si>
  <si>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</si>
  <si>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</si>
  <si>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</si>
  <si>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</si>
  <si>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</si>
  <si>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</si>
  <si>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</si>
  <si>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</si>
  <si>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</si>
  <si>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</si>
  <si>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</si>
  <si>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</si>
  <si>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</si>
  <si>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</si>
  <si>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</si>
  <si>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</si>
  <si>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</si>
  <si>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</si>
  <si>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</si>
  <si>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</si>
  <si>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</si>
  <si>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</si>
  <si>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</si>
  <si>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</si>
  <si>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</si>
  <si>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</si>
  <si>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</si>
  <si>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</si>
  <si>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</si>
  <si>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</si>
  <si>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</si>
  <si>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</si>
  <si>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</si>
  <si>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</si>
  <si>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</si>
  <si>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</si>
  <si>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</si>
  <si>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</si>
  <si>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</si>
  <si>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</si>
  <si>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</si>
  <si>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</si>
  <si>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</si>
  <si>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</si>
  <si>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</si>
  <si>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</si>
  <si>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</si>
  <si>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</si>
  <si>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</si>
  <si>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</si>
  <si>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</si>
  <si>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</si>
  <si>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</si>
  <si>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</si>
  <si>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</si>
  <si>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</si>
  <si>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</si>
  <si>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</si>
  <si>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</si>
  <si>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</si>
  <si>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</si>
  <si>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</si>
  <si>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</si>
  <si>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</si>
  <si>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</si>
  <si>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</si>
  <si>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</si>
  <si>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</si>
  <si>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</si>
  <si>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</si>
  <si>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</si>
  <si>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</si>
  <si>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</si>
  <si>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</si>
  <si>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</si>
  <si>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</si>
  <si>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</si>
  <si>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</si>
  <si>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</si>
  <si>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</si>
  <si>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</si>
  <si>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</si>
  <si>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</si>
  <si>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</si>
  <si>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</si>
  <si>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</si>
  <si>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</si>
  <si>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</si>
  <si>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</si>
  <si>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</si>
  <si>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</si>
  <si>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</si>
  <si>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</si>
  <si>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</si>
  <si>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</si>
  <si>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</si>
  <si>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</si>
  <si>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</si>
  <si>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</si>
  <si>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</si>
  <si>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</si>
  <si>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</si>
  <si>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</si>
  <si>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</si>
  <si>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</si>
  <si>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</si>
  <si>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</si>
  <si>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</si>
  <si>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</si>
  <si>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</si>
  <si>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</si>
  <si>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</si>
  <si>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</si>
  <si>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</si>
  <si>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</si>
  <si>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</si>
  <si>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</si>
  <si>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</si>
  <si>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</si>
  <si>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</si>
  <si>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</si>
  <si>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</si>
  <si>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</si>
  <si>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</si>
  <si>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</si>
  <si>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</si>
  <si>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</si>
  <si>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</si>
  <si>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</si>
  <si>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</si>
  <si>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</si>
  <si>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</si>
  <si>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</si>
  <si>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</si>
  <si>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</si>
  <si>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</si>
  <si>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</si>
  <si>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</si>
  <si>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</si>
  <si>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</si>
  <si>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</si>
  <si>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</si>
  <si>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</si>
  <si>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</si>
  <si>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</si>
  <si>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</si>
  <si>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</si>
  <si>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</si>
  <si>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</si>
  <si>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</si>
  <si>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</si>
  <si>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</si>
  <si>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</si>
  <si>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</si>
  <si>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</si>
  <si>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</si>
  <si>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</si>
  <si>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</si>
  <si>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</si>
  <si>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</si>
  <si>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</si>
  <si>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</si>
  <si>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</si>
  <si>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</si>
  <si>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</si>
  <si>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</si>
  <si>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</si>
  <si>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</si>
  <si>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</si>
  <si>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</si>
  <si>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</si>
  <si>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</si>
  <si>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</si>
  <si>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</si>
  <si>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</si>
  <si>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</si>
  <si>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</si>
  <si>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</si>
  <si>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</si>
  <si>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</si>
  <si>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</si>
  <si>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</si>
  <si>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</si>
  <si>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</si>
  <si>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</si>
  <si>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</si>
  <si>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</si>
  <si>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</si>
  <si>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</si>
  <si>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</si>
  <si>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</si>
  <si>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</si>
  <si>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</si>
  <si>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</si>
  <si>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</si>
  <si>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</si>
  <si>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</si>
  <si>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</si>
  <si>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</si>
  <si>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</si>
  <si>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</si>
  <si>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</si>
  <si>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</si>
  <si>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</si>
  <si>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</si>
  <si>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</si>
  <si>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</si>
  <si>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</si>
  <si>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</si>
  <si>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</si>
  <si>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</si>
  <si>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</si>
  <si>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</si>
  <si>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</si>
  <si>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</si>
  <si>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</si>
  <si>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</si>
  <si>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</si>
  <si>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</si>
  <si>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</si>
  <si>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</si>
  <si>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</si>
  <si>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</si>
  <si>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</si>
  <si>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</si>
  <si>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</si>
  <si>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</si>
  <si>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</si>
  <si>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</si>
  <si>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</si>
  <si>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</si>
  <si>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</si>
  <si>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</si>
  <si>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</si>
  <si>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</si>
  <si>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</si>
  <si>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</si>
  <si>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</si>
  <si>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</si>
  <si>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</si>
  <si>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</si>
  <si>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</si>
  <si>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</si>
  <si>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</si>
  <si>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</si>
  <si>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</si>
  <si>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</si>
  <si>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</si>
  <si>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</si>
  <si>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</si>
  <si>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</si>
  <si>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</si>
  <si>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</si>
  <si>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</si>
  <si>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</si>
  <si>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</si>
  <si>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</si>
  <si>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</si>
  <si>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</si>
  <si>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</si>
  <si>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</si>
  <si>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</si>
  <si>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</si>
  <si>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</si>
  <si>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</si>
  <si>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</si>
  <si>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</si>
  <si>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</si>
  <si>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</si>
  <si>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</si>
  <si>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</si>
  <si>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</si>
  <si>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</si>
  <si>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</si>
  <si>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</si>
  <si>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</si>
  <si>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</si>
  <si>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</si>
  <si>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</si>
  <si>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</si>
  <si>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</si>
  <si>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</si>
  <si>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</si>
  <si>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</si>
  <si>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</si>
  <si>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</si>
  <si>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</si>
  <si>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</si>
  <si>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</si>
  <si>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</si>
  <si>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</si>
  <si>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</si>
  <si>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</si>
  <si>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</si>
  <si>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</si>
  <si>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</si>
  <si>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</si>
  <si>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</si>
  <si>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</si>
  <si>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</si>
  <si>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</si>
  <si>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</si>
  <si>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</si>
  <si>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</si>
  <si>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</si>
  <si>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</si>
  <si>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</si>
  <si>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</si>
  <si>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</si>
  <si>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</si>
  <si>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</si>
  <si>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</si>
  <si>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</si>
  <si>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</si>
  <si>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</si>
  <si>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</si>
  <si>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</si>
  <si>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</si>
  <si>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</si>
  <si>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</si>
  <si>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</si>
  <si>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</si>
  <si>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</si>
  <si>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</si>
  <si>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</si>
  <si>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</si>
  <si>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</si>
  <si>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</si>
  <si>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</si>
  <si>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</si>
  <si>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</si>
  <si>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</si>
  <si>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</si>
  <si>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</si>
  <si>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</si>
  <si>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</si>
  <si>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</si>
  <si>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</si>
  <si>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</si>
  <si>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</si>
  <si>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</si>
  <si>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</si>
  <si>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</si>
  <si>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</si>
  <si>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</si>
  <si>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</si>
  <si>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</si>
  <si>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</si>
  <si>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</si>
  <si>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</si>
  <si>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</si>
  <si>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</si>
  <si>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</si>
  <si>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</si>
  <si>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</si>
  <si>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</si>
  <si>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</si>
  <si>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</si>
  <si>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</si>
  <si>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</si>
  <si>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</si>
  <si>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</si>
  <si>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</si>
  <si>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</si>
  <si>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</si>
  <si>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</si>
  <si>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</si>
  <si>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</si>
  <si>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</si>
  <si>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</si>
  <si>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</si>
  <si>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</si>
  <si>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</si>
  <si>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</si>
  <si>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</si>
  <si>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</si>
  <si>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</si>
  <si>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</si>
  <si>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</si>
  <si>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</si>
  <si>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</si>
  <si>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</si>
  <si>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</si>
  <si>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</si>
  <si>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</si>
  <si>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</si>
  <si>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</si>
  <si>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</si>
  <si>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</si>
  <si>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</si>
  <si>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</si>
  <si>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</si>
  <si>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</si>
  <si>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</si>
  <si>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</si>
  <si>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</si>
  <si>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</si>
  <si>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</si>
  <si>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</si>
  <si>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</si>
  <si>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</si>
  <si>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</si>
  <si>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</si>
  <si>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</si>
  <si>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</si>
  <si>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</si>
  <si>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</si>
  <si>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</si>
  <si>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</si>
  <si>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</si>
  <si>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</si>
  <si>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</si>
  <si>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</si>
  <si>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</si>
  <si>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</si>
  <si>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</si>
  <si>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</si>
  <si>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</si>
  <si>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</si>
  <si>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</si>
  <si>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</si>
  <si>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</si>
  <si>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</si>
  <si>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</si>
  <si>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</si>
  <si>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</si>
  <si>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</si>
  <si>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</si>
  <si>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</si>
  <si>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</si>
  <si>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</si>
  <si>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</si>
  <si>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</si>
  <si>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</si>
  <si>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</si>
  <si>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</si>
  <si>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</si>
  <si>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</si>
  <si>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</si>
  <si>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</si>
  <si>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</si>
  <si>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</si>
  <si>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</si>
  <si>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</si>
  <si>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</si>
  <si>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</si>
  <si>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</si>
  <si>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</si>
  <si>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</si>
  <si>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</si>
  <si>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</si>
  <si>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</si>
  <si>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</si>
  <si>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</si>
  <si>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</si>
  <si>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</si>
  <si>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</si>
  <si>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</si>
  <si>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</si>
  <si>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</si>
  <si>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</si>
  <si>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</si>
  <si>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</si>
  <si>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</si>
  <si>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</si>
  <si>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</si>
  <si>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</si>
  <si>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</si>
  <si>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</si>
  <si>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</si>
  <si>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</si>
  <si>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</si>
  <si>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</si>
  <si>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</si>
  <si>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</si>
  <si>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</si>
  <si>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</si>
  <si>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</si>
  <si>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</si>
  <si>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</si>
  <si>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</si>
  <si>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</si>
  <si>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</si>
  <si>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</si>
  <si>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</si>
  <si>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</si>
  <si>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</si>
  <si>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</si>
  <si>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</si>
  <si>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</si>
  <si>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</si>
  <si>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</si>
  <si>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</si>
  <si>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</si>
  <si>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</si>
  <si>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</si>
  <si>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</si>
  <si>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</si>
  <si>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</si>
  <si>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</si>
  <si>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</si>
  <si>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</si>
  <si>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</si>
  <si>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</si>
  <si>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</si>
  <si>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</si>
  <si>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</si>
  <si>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</si>
  <si>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</si>
  <si>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</si>
  <si>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</si>
  <si>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</si>
  <si>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</si>
  <si>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</si>
  <si>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</si>
  <si>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</si>
  <si>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</si>
  <si>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</si>
  <si>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</si>
  <si>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</si>
  <si>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</si>
  <si>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</si>
  <si>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</si>
  <si>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</si>
  <si>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</si>
  <si>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</si>
  <si>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</si>
  <si>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</si>
  <si>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</si>
  <si>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</si>
  <si>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</si>
  <si>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</si>
  <si>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</si>
  <si>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</si>
  <si>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</si>
  <si>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</si>
  <si>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</si>
  <si>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</si>
  <si>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</si>
  <si>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</si>
  <si>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</si>
  <si>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</si>
  <si>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</si>
  <si>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</si>
  <si>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</si>
  <si>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</si>
  <si>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</si>
  <si>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</si>
  <si>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</si>
  <si>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</si>
  <si>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</si>
  <si>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</si>
  <si>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</si>
  <si>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</si>
  <si>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</si>
  <si>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</si>
  <si>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</si>
  <si>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</si>
  <si>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</si>
  <si>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</si>
  <si>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</si>
  <si>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</si>
  <si>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</si>
  <si>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</si>
  <si>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</si>
  <si>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</si>
  <si>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</si>
  <si>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</si>
  <si>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</si>
  <si>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</si>
  <si>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</si>
  <si>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</si>
  <si>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</si>
  <si>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</si>
  <si>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</si>
  <si>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</si>
  <si>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</si>
  <si>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</si>
  <si>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</si>
  <si>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</si>
  <si>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</si>
  <si>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</si>
  <si>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</si>
  <si>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</si>
  <si>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</si>
  <si>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</si>
  <si>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</si>
  <si>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</si>
  <si>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</si>
  <si>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</si>
  <si>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</si>
  <si>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</si>
  <si>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</si>
  <si>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</si>
  <si>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</si>
  <si>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</si>
  <si>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</si>
  <si>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</si>
  <si>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</si>
  <si>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</si>
  <si>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</si>
  <si>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</si>
  <si>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</si>
  <si>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</si>
  <si>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</si>
  <si>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</si>
  <si>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</si>
  <si>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</si>
  <si>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</si>
  <si>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</si>
  <si>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</si>
  <si>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</si>
  <si>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</si>
  <si>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</si>
  <si>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</si>
  <si>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</si>
  <si>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</si>
  <si>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</si>
  <si>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</si>
  <si>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</si>
  <si>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</si>
  <si>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</si>
  <si>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</si>
  <si>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</si>
  <si>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</si>
  <si>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</si>
  <si>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</si>
  <si>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</si>
  <si>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</si>
  <si>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</si>
  <si>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</si>
  <si>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</si>
  <si>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</si>
  <si>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</si>
  <si>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</si>
  <si>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</si>
  <si>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</si>
  <si>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</si>
  <si>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</si>
  <si>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</si>
  <si>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</si>
  <si>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</si>
  <si>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</si>
  <si>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</si>
  <si>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</si>
  <si>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</si>
  <si>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</si>
  <si>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</si>
  <si>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</si>
  <si>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</si>
  <si>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</si>
  <si>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</si>
  <si>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</si>
  <si>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</si>
  <si>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</si>
  <si>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</si>
  <si>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</si>
  <si>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</si>
  <si>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</si>
  <si>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</si>
  <si>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</si>
  <si>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</si>
  <si>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</si>
  <si>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</si>
  <si>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</si>
  <si>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</si>
  <si>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</si>
  <si>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</si>
  <si>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</si>
  <si>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</si>
  <si>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</si>
  <si>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</si>
  <si>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</si>
  <si>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</si>
  <si>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</si>
  <si>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</si>
  <si>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</si>
  <si>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</si>
  <si>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</si>
  <si>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</si>
  <si>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</si>
  <si>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</si>
  <si>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</si>
  <si>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</si>
  <si>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</si>
  <si>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</si>
  <si>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</si>
  <si>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</si>
  <si>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</si>
  <si>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</si>
  <si>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</si>
  <si>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</si>
  <si>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</si>
  <si>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</si>
  <si>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</si>
  <si>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</si>
  <si>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</si>
  <si>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</si>
  <si>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</si>
  <si>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</si>
  <si>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</si>
  <si>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</si>
  <si>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</si>
  <si>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</si>
  <si>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</si>
  <si>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</si>
  <si>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</si>
  <si>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</si>
  <si>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</si>
  <si>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</si>
  <si>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</si>
  <si>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</si>
  <si>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</si>
  <si>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</si>
  <si>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</si>
  <si>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</si>
  <si>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</si>
  <si>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</si>
  <si>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</si>
  <si>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</si>
  <si>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</si>
  <si>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</si>
  <si>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</si>
  <si>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</si>
  <si>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</si>
  <si>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</si>
  <si>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</si>
  <si>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</si>
  <si>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</si>
  <si>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</si>
  <si>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</si>
  <si>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</si>
  <si>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</si>
  <si>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</si>
  <si>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</si>
  <si>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</si>
  <si>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</si>
  <si>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</si>
  <si>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</si>
  <si>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</si>
  <si>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</si>
  <si>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</si>
  <si>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</si>
  <si>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</si>
  <si>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</si>
  <si>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</si>
  <si>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</si>
  <si>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</si>
  <si>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</si>
  <si>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</si>
  <si>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</si>
  <si>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</si>
  <si>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</si>
  <si>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</si>
  <si>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</si>
  <si>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</si>
  <si>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</si>
  <si>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</si>
  <si>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</si>
  <si>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</si>
  <si>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</si>
  <si>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</si>
  <si>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</si>
  <si>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</si>
  <si>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</si>
  <si>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</si>
  <si>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</si>
  <si>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</si>
  <si>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</si>
  <si>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</si>
  <si>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</si>
  <si>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</si>
  <si>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</si>
  <si>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</si>
  <si>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</si>
  <si>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</si>
  <si>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</si>
  <si>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</si>
  <si>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</si>
  <si>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</si>
  <si>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</si>
  <si>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</si>
  <si>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</si>
  <si>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</si>
  <si>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</si>
  <si>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</si>
  <si>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</si>
  <si>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</si>
  <si>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</si>
  <si>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</si>
  <si>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</si>
  <si>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</si>
  <si>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</si>
  <si>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</si>
  <si>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</si>
  <si>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</si>
  <si>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</si>
  <si>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</si>
  <si>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</si>
  <si>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</si>
  <si>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</si>
  <si>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</si>
  <si>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</si>
  <si>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</si>
  <si>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</si>
  <si>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</si>
  <si>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</si>
  <si>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</si>
  <si>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</si>
  <si>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</si>
  <si>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</si>
  <si>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</si>
  <si>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</si>
  <si>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</si>
  <si>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</si>
  <si>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</si>
  <si>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</si>
  <si>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</si>
  <si>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</si>
  <si>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</si>
  <si>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</si>
  <si>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</si>
  <si>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</si>
  <si>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</si>
  <si>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</si>
  <si>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</si>
  <si>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</si>
  <si>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</si>
  <si>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</si>
  <si>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</si>
  <si>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</si>
  <si>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</si>
  <si>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</si>
  <si>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</si>
  <si>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</si>
  <si>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</si>
  <si>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</si>
  <si>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</si>
  <si>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</si>
  <si>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</si>
  <si>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</si>
  <si>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</si>
  <si>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</si>
  <si>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</si>
  <si>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</si>
  <si>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</si>
  <si>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</si>
  <si>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</si>
  <si>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</si>
  <si>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</si>
  <si>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</si>
  <si>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</si>
  <si>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</si>
  <si>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</si>
  <si>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</si>
  <si>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</si>
  <si>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</si>
  <si>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</si>
  <si>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</si>
  <si>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</si>
  <si>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</si>
  <si>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</si>
  <si>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</si>
  <si>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</si>
  <si>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</si>
  <si>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</si>
  <si>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</si>
  <si>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</si>
  <si>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</si>
  <si>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</si>
  <si>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</si>
  <si>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</si>
  <si>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</si>
  <si>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</si>
  <si>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</si>
  <si>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</si>
  <si>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</si>
  <si>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</si>
  <si>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</si>
  <si>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</si>
  <si>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</si>
  <si>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</si>
  <si>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</si>
  <si>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</si>
  <si>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</si>
  <si>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</si>
  <si>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</si>
  <si>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</si>
  <si>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</si>
  <si>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</si>
  <si>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</si>
  <si>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</si>
  <si>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</si>
  <si>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</si>
  <si>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</si>
  <si>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</si>
  <si>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</si>
  <si>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</si>
  <si>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</si>
  <si>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</si>
  <si>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</si>
  <si>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</si>
  <si>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</si>
  <si>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</si>
  <si>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</si>
  <si>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</si>
  <si>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</si>
  <si>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</si>
  <si>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</si>
  <si>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</si>
  <si>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</si>
  <si>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</si>
  <si>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</si>
  <si>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</si>
  <si>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</si>
  <si>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</si>
  <si>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</si>
  <si>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</si>
  <si>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</si>
  <si>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</si>
  <si>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</si>
  <si>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</si>
  <si>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</si>
  <si>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</si>
  <si>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</si>
  <si>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</si>
  <si>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</si>
  <si>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</si>
  <si>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</si>
  <si>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</si>
  <si>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</si>
  <si>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</si>
  <si>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</si>
  <si>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</si>
  <si>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</si>
  <si>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</si>
  <si>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</si>
  <si>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</si>
  <si>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</si>
  <si>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</si>
  <si>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</si>
  <si>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</si>
  <si>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</si>
  <si>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</si>
  <si>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</si>
  <si>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</si>
  <si>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</si>
  <si>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</si>
  <si>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</si>
  <si>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</si>
  <si>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</si>
  <si>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</si>
  <si>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</si>
  <si>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</si>
  <si>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</si>
  <si>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</si>
  <si>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</si>
  <si>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</si>
  <si>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</si>
  <si>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</si>
  <si>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</si>
  <si>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</si>
  <si>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</si>
  <si>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</si>
  <si>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</si>
  <si>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</si>
  <si>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</si>
  <si>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</si>
  <si>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</si>
  <si>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</si>
  <si>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</si>
  <si>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زاگرس 3305 تا 11321.5</t>
  </si>
  <si>
    <t>پارس 600 تا 12847.3</t>
  </si>
  <si>
    <t>12/3/1399</t>
  </si>
  <si>
    <t>زاگرس 21401 تا 11332</t>
  </si>
  <si>
    <t>بدهی به کاظم (هزینه تعمیر خونه تا 4 میلیون تومن پرداخت شده)</t>
  </si>
  <si>
    <t>11980An0063441578*</t>
  </si>
  <si>
    <t>13/3/1399</t>
  </si>
  <si>
    <t>زاگرس 20534 تا 11692.1</t>
  </si>
  <si>
    <t>پارس 1004 تا 13000.2</t>
  </si>
  <si>
    <t>خرج مریم برای تولد ایلیا</t>
  </si>
  <si>
    <t>17/3/1399</t>
  </si>
  <si>
    <t>18/3/1399</t>
  </si>
  <si>
    <t>تعدا 50 از بورس و 150 ملت علی</t>
  </si>
  <si>
    <t>19/3/1399</t>
  </si>
  <si>
    <t>تا وغدیر 1188.7</t>
  </si>
  <si>
    <t>زاگرس 2641 تا 12886</t>
  </si>
  <si>
    <t>وغدیر 61510 تا 1034.6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</si>
</sst>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5539</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5540</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5541</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5525</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5244</v>
      </c>
      <c r="P51" s="18">
        <v>700000</v>
      </c>
      <c r="Q51" s="99">
        <v>18</v>
      </c>
      <c r="R51" s="99"/>
      <c r="S51" s="96"/>
      <c r="T51" s="96"/>
    </row>
    <row r="52" spans="1:21">
      <c r="A52" s="96"/>
      <c r="B52" s="96"/>
      <c r="E52" s="96"/>
      <c r="F52" s="96"/>
      <c r="O52" s="99" t="s">
        <v>5259</v>
      </c>
      <c r="P52" s="18">
        <v>-700000</v>
      </c>
      <c r="Q52" s="99">
        <v>46</v>
      </c>
      <c r="R52" s="99"/>
    </row>
    <row r="53" spans="1:21">
      <c r="A53" s="96"/>
      <c r="B53" s="96"/>
      <c r="E53" s="96"/>
      <c r="F53" s="96"/>
      <c r="K53" t="s">
        <v>25</v>
      </c>
      <c r="O53" s="99" t="s">
        <v>5310</v>
      </c>
      <c r="P53" s="18">
        <v>1000000</v>
      </c>
      <c r="Q53" s="99">
        <v>4</v>
      </c>
      <c r="R53" s="99"/>
    </row>
    <row r="54" spans="1:21">
      <c r="A54" s="96"/>
      <c r="B54" s="96"/>
      <c r="E54" s="96"/>
      <c r="F54" s="96"/>
      <c r="O54" s="99" t="s">
        <v>5314</v>
      </c>
      <c r="P54" s="18">
        <v>1500000</v>
      </c>
      <c r="Q54" s="99">
        <v>1</v>
      </c>
      <c r="R54" s="99"/>
    </row>
    <row r="55" spans="1:21">
      <c r="A55" s="96"/>
      <c r="B55" s="96"/>
      <c r="E55" s="96"/>
      <c r="F55" s="96"/>
      <c r="O55" s="99" t="s">
        <v>5315</v>
      </c>
      <c r="P55" s="18">
        <v>-1500000</v>
      </c>
      <c r="Q55" s="99">
        <v>15</v>
      </c>
      <c r="R55" s="99"/>
    </row>
    <row r="56" spans="1:21">
      <c r="A56" s="96"/>
      <c r="B56" s="96"/>
      <c r="E56" s="96"/>
      <c r="F56" s="96"/>
      <c r="O56" s="99" t="s">
        <v>5347</v>
      </c>
      <c r="P56" s="18">
        <v>-100000</v>
      </c>
      <c r="Q56" s="99">
        <v>5</v>
      </c>
      <c r="R56" s="99"/>
    </row>
    <row r="57" spans="1:21">
      <c r="A57" s="96"/>
      <c r="B57" s="96"/>
      <c r="E57" s="96"/>
      <c r="F57" s="96"/>
      <c r="O57" s="99" t="s">
        <v>5353</v>
      </c>
      <c r="P57" s="18">
        <v>1164690</v>
      </c>
      <c r="Q57" s="99">
        <v>4</v>
      </c>
      <c r="R57" s="99"/>
      <c r="S57" t="s">
        <v>25</v>
      </c>
    </row>
    <row r="58" spans="1:21">
      <c r="A58" s="96"/>
      <c r="B58" s="96"/>
      <c r="E58" s="96"/>
      <c r="F58" s="96"/>
      <c r="O58" s="99" t="s">
        <v>5363</v>
      </c>
      <c r="P58" s="18">
        <v>1000000</v>
      </c>
      <c r="Q58" s="99">
        <v>4</v>
      </c>
      <c r="R58" s="99"/>
    </row>
    <row r="59" spans="1:21">
      <c r="A59" s="96"/>
      <c r="B59" s="96"/>
      <c r="E59" s="96"/>
      <c r="F59" s="96"/>
      <c r="O59" s="99" t="s">
        <v>5368</v>
      </c>
      <c r="P59" s="18">
        <v>-264690</v>
      </c>
      <c r="Q59" s="99">
        <v>7</v>
      </c>
      <c r="R59" s="99"/>
    </row>
    <row r="60" spans="1:21">
      <c r="A60" s="96"/>
      <c r="B60" s="96"/>
      <c r="E60" s="96"/>
      <c r="F60" s="96"/>
      <c r="N60" t="s">
        <v>25</v>
      </c>
      <c r="O60" s="99" t="s">
        <v>5386</v>
      </c>
      <c r="P60" s="18">
        <v>2700000</v>
      </c>
      <c r="Q60" s="99">
        <v>0</v>
      </c>
      <c r="R60" s="99"/>
    </row>
    <row r="61" spans="1:21">
      <c r="A61" s="96"/>
      <c r="B61" s="96"/>
      <c r="E61" s="96"/>
      <c r="F61" s="96"/>
      <c r="O61" s="99" t="s">
        <v>5386</v>
      </c>
      <c r="P61" s="18">
        <v>-1000000</v>
      </c>
      <c r="Q61" s="99">
        <v>1</v>
      </c>
      <c r="R61" s="99" t="s">
        <v>5389</v>
      </c>
    </row>
    <row r="62" spans="1:21">
      <c r="A62" s="96"/>
      <c r="B62" s="96"/>
      <c r="E62" s="96"/>
      <c r="F62" s="96"/>
      <c r="O62" s="99" t="s">
        <v>5391</v>
      </c>
      <c r="P62" s="18">
        <v>-75616</v>
      </c>
      <c r="Q62" s="99">
        <v>2</v>
      </c>
      <c r="R62" s="99" t="s">
        <v>5392</v>
      </c>
    </row>
    <row r="63" spans="1:21">
      <c r="A63" s="96"/>
      <c r="B63" s="96"/>
      <c r="E63" s="96"/>
      <c r="F63" s="96"/>
      <c r="O63" s="99" t="s">
        <v>975</v>
      </c>
      <c r="P63" s="18">
        <v>-2424384</v>
      </c>
      <c r="Q63" s="99">
        <v>2</v>
      </c>
      <c r="R63" s="99"/>
      <c r="U63" t="s">
        <v>25</v>
      </c>
    </row>
    <row r="64" spans="1:21">
      <c r="A64" s="96"/>
      <c r="B64" s="96"/>
      <c r="E64" s="96"/>
      <c r="F64" s="96"/>
      <c r="O64" s="99" t="s">
        <v>5406</v>
      </c>
      <c r="P64" s="18">
        <v>-2000000</v>
      </c>
      <c r="Q64" s="99">
        <v>6</v>
      </c>
      <c r="R64" s="99"/>
    </row>
    <row r="65" spans="1:21">
      <c r="A65" s="96"/>
      <c r="B65" s="96"/>
      <c r="E65" s="96"/>
      <c r="F65" s="96"/>
      <c r="O65" s="99" t="s">
        <v>5443</v>
      </c>
      <c r="P65" s="18">
        <v>2500000</v>
      </c>
      <c r="Q65" s="99">
        <v>1</v>
      </c>
      <c r="R65" s="99"/>
    </row>
    <row r="66" spans="1:21">
      <c r="A66" s="96"/>
      <c r="B66" s="96"/>
      <c r="E66" s="96"/>
      <c r="F66" s="96"/>
      <c r="O66" s="99" t="s">
        <v>5446</v>
      </c>
      <c r="P66" s="18">
        <v>3000000</v>
      </c>
      <c r="Q66" s="99">
        <v>3</v>
      </c>
      <c r="R66" s="99"/>
    </row>
    <row r="67" spans="1:21">
      <c r="A67" s="96"/>
      <c r="B67" s="96"/>
      <c r="E67" s="96"/>
      <c r="F67" s="96"/>
      <c r="O67" s="99" t="s">
        <v>5454</v>
      </c>
      <c r="P67" s="18">
        <v>-300000</v>
      </c>
      <c r="Q67" s="99">
        <v>5</v>
      </c>
      <c r="R67" s="99"/>
    </row>
    <row r="68" spans="1:21">
      <c r="A68" s="96"/>
      <c r="B68" s="96"/>
      <c r="E68" s="96"/>
      <c r="F68" s="96"/>
      <c r="O68" s="99" t="s">
        <v>5466</v>
      </c>
      <c r="P68" s="18">
        <v>500000</v>
      </c>
      <c r="Q68" s="99">
        <v>1</v>
      </c>
      <c r="R68" s="99"/>
    </row>
    <row r="69" spans="1:21">
      <c r="A69" s="96"/>
      <c r="B69" s="96"/>
      <c r="E69" s="96"/>
      <c r="F69" s="96"/>
      <c r="O69" s="99" t="s">
        <v>5468</v>
      </c>
      <c r="P69" s="18">
        <v>1000000</v>
      </c>
      <c r="Q69" s="99">
        <v>5</v>
      </c>
      <c r="R69" s="99"/>
    </row>
    <row r="70" spans="1:21">
      <c r="A70" s="96"/>
      <c r="B70" s="96"/>
      <c r="E70" s="96"/>
      <c r="F70" s="96"/>
      <c r="O70" s="99" t="s">
        <v>5474</v>
      </c>
      <c r="P70" s="18">
        <v>-2700000</v>
      </c>
      <c r="Q70" s="99">
        <v>1</v>
      </c>
      <c r="R70" s="99"/>
    </row>
    <row r="71" spans="1:21">
      <c r="A71" s="96"/>
      <c r="B71" s="96"/>
      <c r="E71" s="96"/>
      <c r="F71" s="96"/>
      <c r="M71" t="s">
        <v>25</v>
      </c>
      <c r="O71" s="99" t="s">
        <v>5477</v>
      </c>
      <c r="P71" s="18">
        <v>-3600000</v>
      </c>
      <c r="Q71" s="99">
        <v>1</v>
      </c>
      <c r="R71" s="99"/>
    </row>
    <row r="72" spans="1:21">
      <c r="A72" s="96"/>
      <c r="B72" s="96"/>
      <c r="E72" s="96"/>
      <c r="F72" s="96"/>
      <c r="O72" s="99" t="s">
        <v>999</v>
      </c>
      <c r="P72" s="18">
        <v>-400000</v>
      </c>
      <c r="Q72" s="99">
        <v>17</v>
      </c>
      <c r="R72" s="99"/>
    </row>
    <row r="73" spans="1:21">
      <c r="A73" s="96"/>
      <c r="B73" s="96"/>
      <c r="E73" s="96"/>
      <c r="F73" s="96"/>
      <c r="O73" s="99" t="s">
        <v>5501</v>
      </c>
      <c r="P73" s="18">
        <v>1000000</v>
      </c>
      <c r="Q73" s="99">
        <v>20</v>
      </c>
      <c r="R73" s="99"/>
    </row>
    <row r="74" spans="1:21">
      <c r="A74" s="96"/>
      <c r="B74" s="96"/>
      <c r="E74" s="96"/>
      <c r="F74" s="96"/>
      <c r="O74" s="99" t="s">
        <v>5536</v>
      </c>
      <c r="P74" s="18">
        <v>-1000000</v>
      </c>
      <c r="Q74" s="99">
        <v>25</v>
      </c>
      <c r="R74" s="99"/>
    </row>
    <row r="75" spans="1:21">
      <c r="A75" s="96"/>
      <c r="B75" s="96"/>
      <c r="E75" s="96"/>
      <c r="F75" s="96"/>
      <c r="O75" s="99" t="s">
        <v>5584</v>
      </c>
      <c r="P75" s="18">
        <v>300000</v>
      </c>
      <c r="Q75" s="99">
        <v>3</v>
      </c>
      <c r="R75" s="99"/>
    </row>
    <row r="76" spans="1:21">
      <c r="A76" s="96"/>
      <c r="B76" s="96"/>
      <c r="E76" s="96"/>
      <c r="F76" s="96"/>
      <c r="O76" s="99" t="s">
        <v>5592</v>
      </c>
      <c r="P76" s="18">
        <v>-300000</v>
      </c>
      <c r="Q76" s="99">
        <v>9</v>
      </c>
      <c r="R76" s="99"/>
    </row>
    <row r="77" spans="1:21">
      <c r="A77" s="96"/>
      <c r="B77" s="96"/>
      <c r="E77" s="96"/>
      <c r="F77" s="96"/>
      <c r="O77" s="99" t="s">
        <v>5620</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5237</v>
      </c>
    </row>
    <row r="97" spans="4:10">
      <c r="D97" s="18">
        <v>-168950</v>
      </c>
      <c r="E97" s="251" t="s">
        <v>4400</v>
      </c>
      <c r="J97" t="s">
        <v>25</v>
      </c>
    </row>
    <row r="98" spans="4:10">
      <c r="D98" s="18">
        <v>-250000</v>
      </c>
      <c r="E98" s="251" t="s">
        <v>5248</v>
      </c>
    </row>
    <row r="99" spans="4:10">
      <c r="D99" s="18">
        <v>500000</v>
      </c>
      <c r="E99" s="251" t="s">
        <v>5262</v>
      </c>
    </row>
    <row r="100" spans="4:10">
      <c r="D100" s="18">
        <v>-520000</v>
      </c>
      <c r="E100" s="251" t="s">
        <v>5261</v>
      </c>
      <c r="J100" t="s">
        <v>25</v>
      </c>
    </row>
    <row r="101" spans="4:10">
      <c r="D101" s="18">
        <v>500000</v>
      </c>
      <c r="E101" s="251" t="s">
        <v>5272</v>
      </c>
    </row>
    <row r="102" spans="4:10">
      <c r="D102" s="18">
        <v>-200000</v>
      </c>
      <c r="E102" s="251" t="s">
        <v>5276</v>
      </c>
    </row>
    <row r="103" spans="4:10">
      <c r="D103" s="18">
        <v>-300000</v>
      </c>
      <c r="E103" s="251" t="s">
        <v>5277</v>
      </c>
    </row>
    <row r="104" spans="4:10">
      <c r="D104" s="18">
        <v>-530000</v>
      </c>
      <c r="E104" s="251" t="s">
        <v>5295</v>
      </c>
    </row>
    <row r="105" spans="4:10">
      <c r="D105" s="18">
        <v>-550000</v>
      </c>
      <c r="E105" s="251" t="s">
        <v>5297</v>
      </c>
    </row>
    <row r="106" spans="4:10">
      <c r="D106" s="18">
        <v>-200000</v>
      </c>
      <c r="E106" s="251" t="s">
        <v>5321</v>
      </c>
    </row>
    <row r="107" spans="4:10">
      <c r="D107" s="18">
        <v>-1600000</v>
      </c>
      <c r="E107" s="251" t="s">
        <v>5323</v>
      </c>
      <c r="G107" t="s">
        <v>25</v>
      </c>
    </row>
    <row r="108" spans="4:10">
      <c r="D108" s="18">
        <v>1600000</v>
      </c>
      <c r="E108" s="251" t="s">
        <v>5331</v>
      </c>
    </row>
    <row r="109" spans="4:10">
      <c r="D109" s="18">
        <v>-550000</v>
      </c>
      <c r="E109" s="251" t="s">
        <v>5334</v>
      </c>
    </row>
    <row r="110" spans="4:10">
      <c r="D110" s="18">
        <v>-15000</v>
      </c>
      <c r="E110" s="251" t="s">
        <v>5339</v>
      </c>
    </row>
    <row r="111" spans="4:10">
      <c r="D111" s="18">
        <v>-325000</v>
      </c>
      <c r="E111" s="251" t="s">
        <v>5356</v>
      </c>
    </row>
    <row r="112" spans="4:10">
      <c r="D112" s="18">
        <v>-130000</v>
      </c>
      <c r="E112" s="251" t="s">
        <v>5357</v>
      </c>
    </row>
    <row r="113" spans="4:10">
      <c r="D113" s="18">
        <v>-250000</v>
      </c>
      <c r="E113" s="251" t="s">
        <v>5366</v>
      </c>
      <c r="J113" t="s">
        <v>25</v>
      </c>
    </row>
    <row r="114" spans="4:10">
      <c r="D114" s="18">
        <v>-750000</v>
      </c>
      <c r="E114" s="251" t="s">
        <v>5369</v>
      </c>
    </row>
    <row r="115" spans="4:10">
      <c r="D115" s="18">
        <v>250000</v>
      </c>
      <c r="E115" s="251" t="s">
        <v>5376</v>
      </c>
    </row>
    <row r="116" spans="4:10">
      <c r="D116" s="18">
        <v>-2100000</v>
      </c>
      <c r="E116" s="251" t="s">
        <v>5390</v>
      </c>
    </row>
    <row r="117" spans="4:10">
      <c r="D117" s="18">
        <v>-1000000</v>
      </c>
      <c r="E117" s="251" t="s">
        <v>5399</v>
      </c>
    </row>
    <row r="118" spans="4:10">
      <c r="D118" s="18">
        <v>-100000</v>
      </c>
      <c r="E118" s="251" t="s">
        <v>5400</v>
      </c>
    </row>
    <row r="119" spans="4:10">
      <c r="D119" s="18">
        <v>-550000</v>
      </c>
      <c r="E119" s="251" t="s">
        <v>5430</v>
      </c>
    </row>
    <row r="120" spans="4:10">
      <c r="D120" s="18">
        <v>-550000</v>
      </c>
      <c r="E120" s="251" t="s">
        <v>5431</v>
      </c>
    </row>
    <row r="121" spans="4:10">
      <c r="D121" s="18">
        <v>-390000</v>
      </c>
      <c r="E121" s="251" t="s">
        <v>5461</v>
      </c>
      <c r="H121" t="s">
        <v>25</v>
      </c>
      <c r="J121" t="s">
        <v>25</v>
      </c>
    </row>
    <row r="122" spans="4:10">
      <c r="D122" s="18">
        <v>2432520</v>
      </c>
      <c r="E122" s="251" t="s">
        <v>5462</v>
      </c>
    </row>
    <row r="123" spans="4:10">
      <c r="D123" s="18">
        <v>8000000</v>
      </c>
      <c r="E123" s="251" t="s">
        <v>5480</v>
      </c>
    </row>
    <row r="124" spans="4:10">
      <c r="D124" s="18">
        <v>-83930</v>
      </c>
      <c r="E124" s="251" t="s">
        <v>5489</v>
      </c>
    </row>
    <row r="125" spans="4:10">
      <c r="D125" s="18">
        <v>1000000</v>
      </c>
      <c r="E125" s="251" t="s">
        <v>5537</v>
      </c>
    </row>
    <row r="126" spans="4:10">
      <c r="D126" s="18">
        <v>-1333333</v>
      </c>
      <c r="E126" s="251" t="s">
        <v>5538</v>
      </c>
      <c r="J126" t="s">
        <v>25</v>
      </c>
    </row>
    <row r="127" spans="4:10">
      <c r="D127" s="18">
        <v>-1050000</v>
      </c>
      <c r="E127" s="251" t="s">
        <v>5561</v>
      </c>
    </row>
    <row r="128" spans="4:10">
      <c r="D128" s="18">
        <v>-2000000</v>
      </c>
      <c r="E128" s="251" t="s">
        <v>5577</v>
      </c>
      <c r="I128" t="s">
        <v>25</v>
      </c>
    </row>
    <row r="129" spans="4:5">
      <c r="D129" s="18">
        <v>-250000</v>
      </c>
      <c r="E129" s="251" t="s">
        <v>5590</v>
      </c>
    </row>
    <row r="130" spans="4:5">
      <c r="D130" s="18">
        <v>-550000</v>
      </c>
      <c r="E130" s="251" t="s">
        <v>5605</v>
      </c>
    </row>
    <row r="131" spans="4:5">
      <c r="D131" s="18">
        <v>210000</v>
      </c>
      <c r="E131" s="251" t="s">
        <v>5606</v>
      </c>
    </row>
    <row r="132" spans="4:5">
      <c r="D132" s="18">
        <v>-724200</v>
      </c>
      <c r="E132" s="251" t="s">
        <v>5664</v>
      </c>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25522516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5238</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5239</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5241</v>
      </c>
      <c r="B345" s="113">
        <v>-566500</v>
      </c>
      <c r="C345" s="99">
        <v>1</v>
      </c>
      <c r="D345" s="99">
        <f t="shared" si="22"/>
        <v>204</v>
      </c>
      <c r="E345" s="99">
        <f t="shared" si="23"/>
        <v>0</v>
      </c>
      <c r="F345" s="99">
        <f t="shared" si="24"/>
        <v>-115566000</v>
      </c>
      <c r="G345" s="99"/>
      <c r="K345" t="s">
        <v>25</v>
      </c>
    </row>
    <row r="346" spans="1:13">
      <c r="A346" s="99" t="s">
        <v>5242</v>
      </c>
      <c r="B346" s="113">
        <v>-300000</v>
      </c>
      <c r="C346" s="99">
        <v>22</v>
      </c>
      <c r="D346" s="99">
        <f t="shared" si="22"/>
        <v>203</v>
      </c>
      <c r="E346" s="99">
        <f t="shared" si="23"/>
        <v>1</v>
      </c>
      <c r="F346" s="99">
        <f t="shared" si="24"/>
        <v>-60600000</v>
      </c>
      <c r="G346" s="99"/>
      <c r="J346" t="s">
        <v>25</v>
      </c>
    </row>
    <row r="347" spans="1:13">
      <c r="A347" s="99" t="s">
        <v>5265</v>
      </c>
      <c r="B347" s="113">
        <v>700000</v>
      </c>
      <c r="C347" s="99">
        <v>1</v>
      </c>
      <c r="D347" s="99">
        <f t="shared" si="22"/>
        <v>181</v>
      </c>
      <c r="E347" s="99">
        <f t="shared" si="23"/>
        <v>0</v>
      </c>
      <c r="F347" s="99">
        <f t="shared" si="24"/>
        <v>126700000</v>
      </c>
      <c r="G347" s="99"/>
    </row>
    <row r="348" spans="1:13">
      <c r="A348" s="99" t="s">
        <v>5268</v>
      </c>
      <c r="B348" s="113">
        <v>-101000</v>
      </c>
      <c r="C348" s="99">
        <v>1</v>
      </c>
      <c r="D348" s="99">
        <f t="shared" si="22"/>
        <v>180</v>
      </c>
      <c r="E348" s="99">
        <f t="shared" si="23"/>
        <v>0</v>
      </c>
      <c r="F348" s="99">
        <f t="shared" si="24"/>
        <v>-18180000</v>
      </c>
      <c r="G348" s="99"/>
    </row>
    <row r="349" spans="1:13">
      <c r="A349" s="99" t="s">
        <v>5268</v>
      </c>
      <c r="B349" s="113">
        <v>-57245</v>
      </c>
      <c r="C349" s="99">
        <v>1</v>
      </c>
      <c r="D349" s="99">
        <f t="shared" si="22"/>
        <v>179</v>
      </c>
      <c r="E349" s="99">
        <f t="shared" si="23"/>
        <v>0</v>
      </c>
      <c r="F349" s="99">
        <f t="shared" si="24"/>
        <v>-10246855</v>
      </c>
      <c r="G349" s="99"/>
    </row>
    <row r="350" spans="1:13">
      <c r="A350" s="99" t="s">
        <v>5270</v>
      </c>
      <c r="B350" s="113">
        <v>-398700</v>
      </c>
      <c r="C350" s="99">
        <v>2</v>
      </c>
      <c r="D350" s="99">
        <f t="shared" si="22"/>
        <v>178</v>
      </c>
      <c r="E350" s="99">
        <f t="shared" si="23"/>
        <v>0</v>
      </c>
      <c r="F350" s="99">
        <f t="shared" si="24"/>
        <v>-70968600</v>
      </c>
      <c r="G350" s="99"/>
    </row>
    <row r="351" spans="1:13">
      <c r="A351" s="99" t="s">
        <v>5269</v>
      </c>
      <c r="B351" s="113">
        <v>-87010</v>
      </c>
      <c r="C351" s="99">
        <v>5</v>
      </c>
      <c r="D351" s="99">
        <f t="shared" si="22"/>
        <v>176</v>
      </c>
      <c r="E351" s="99">
        <f t="shared" si="23"/>
        <v>0</v>
      </c>
      <c r="F351" s="99">
        <f t="shared" si="24"/>
        <v>-15313760</v>
      </c>
      <c r="G351" s="99"/>
    </row>
    <row r="352" spans="1:13">
      <c r="A352" s="99" t="s">
        <v>5299</v>
      </c>
      <c r="B352" s="113">
        <v>-50000</v>
      </c>
      <c r="C352" s="99">
        <v>28</v>
      </c>
      <c r="D352" s="99">
        <f t="shared" si="22"/>
        <v>171</v>
      </c>
      <c r="E352" s="99">
        <f t="shared" si="23"/>
        <v>1</v>
      </c>
      <c r="F352" s="99">
        <f t="shared" si="24"/>
        <v>-8500000</v>
      </c>
      <c r="G352" s="99"/>
    </row>
    <row r="353" spans="1:12">
      <c r="A353" s="99" t="s">
        <v>5298</v>
      </c>
      <c r="B353" s="113">
        <v>1200000</v>
      </c>
      <c r="C353" s="99">
        <v>0</v>
      </c>
      <c r="D353" s="99">
        <f t="shared" ref="D353:D365" si="25">D354+C353</f>
        <v>143</v>
      </c>
      <c r="E353" s="99">
        <f t="shared" ref="E353:E365" si="26">IF(B354&gt;0,1,0)</f>
        <v>0</v>
      </c>
      <c r="F353" s="99">
        <f t="shared" ref="F353:F365" si="27">B353*(D353-E353)</f>
        <v>171600000</v>
      </c>
      <c r="G353" s="99"/>
    </row>
    <row r="354" spans="1:12">
      <c r="A354" s="99" t="s">
        <v>5298</v>
      </c>
      <c r="B354" s="113">
        <v>-367300</v>
      </c>
      <c r="C354" s="99">
        <v>1</v>
      </c>
      <c r="D354" s="99">
        <f t="shared" si="25"/>
        <v>143</v>
      </c>
      <c r="E354" s="99">
        <f t="shared" si="26"/>
        <v>0</v>
      </c>
      <c r="F354" s="99">
        <f t="shared" si="27"/>
        <v>-52523900</v>
      </c>
      <c r="G354" s="99"/>
    </row>
    <row r="355" spans="1:12">
      <c r="A355" s="99" t="s">
        <v>5300</v>
      </c>
      <c r="B355" s="113">
        <v>-104894</v>
      </c>
      <c r="C355" s="99">
        <v>1</v>
      </c>
      <c r="D355" s="99">
        <f t="shared" si="25"/>
        <v>142</v>
      </c>
      <c r="E355" s="99">
        <f t="shared" si="26"/>
        <v>0</v>
      </c>
      <c r="F355" s="99">
        <f t="shared" si="27"/>
        <v>-14894948</v>
      </c>
      <c r="G355" s="99"/>
    </row>
    <row r="356" spans="1:12">
      <c r="A356" s="99" t="s">
        <v>5301</v>
      </c>
      <c r="B356" s="113">
        <v>-688700</v>
      </c>
      <c r="C356" s="99">
        <v>0</v>
      </c>
      <c r="D356" s="99">
        <f t="shared" si="25"/>
        <v>141</v>
      </c>
      <c r="E356" s="99">
        <f t="shared" si="26"/>
        <v>0</v>
      </c>
      <c r="F356" s="99">
        <f t="shared" si="27"/>
        <v>-97106700</v>
      </c>
      <c r="G356" s="99"/>
    </row>
    <row r="357" spans="1:12">
      <c r="A357" s="99" t="s">
        <v>5301</v>
      </c>
      <c r="B357" s="113">
        <v>-8321</v>
      </c>
      <c r="C357" s="99">
        <v>5</v>
      </c>
      <c r="D357" s="99">
        <f t="shared" si="25"/>
        <v>141</v>
      </c>
      <c r="E357" s="99">
        <f t="shared" si="26"/>
        <v>1</v>
      </c>
      <c r="F357" s="99">
        <f t="shared" si="27"/>
        <v>-1164940</v>
      </c>
      <c r="G357" s="99"/>
      <c r="J357" t="s">
        <v>25</v>
      </c>
    </row>
    <row r="358" spans="1:12">
      <c r="A358" s="99" t="s">
        <v>5311</v>
      </c>
      <c r="B358" s="113">
        <v>1000000</v>
      </c>
      <c r="C358" s="99">
        <v>0</v>
      </c>
      <c r="D358" s="99">
        <f t="shared" si="25"/>
        <v>136</v>
      </c>
      <c r="E358" s="99">
        <f t="shared" si="26"/>
        <v>0</v>
      </c>
      <c r="F358" s="99">
        <f t="shared" si="27"/>
        <v>136000000</v>
      </c>
      <c r="G358" s="99"/>
    </row>
    <row r="359" spans="1:12">
      <c r="A359" s="99" t="s">
        <v>5311</v>
      </c>
      <c r="B359" s="113">
        <v>-127644</v>
      </c>
      <c r="C359" s="99">
        <v>1</v>
      </c>
      <c r="D359" s="99">
        <f t="shared" si="25"/>
        <v>136</v>
      </c>
      <c r="E359" s="99">
        <f t="shared" si="26"/>
        <v>0</v>
      </c>
      <c r="F359" s="99">
        <f t="shared" si="27"/>
        <v>-17359584</v>
      </c>
      <c r="G359" s="99"/>
    </row>
    <row r="360" spans="1:12">
      <c r="A360" s="99" t="s">
        <v>5312</v>
      </c>
      <c r="B360" s="113">
        <v>-418000</v>
      </c>
      <c r="C360" s="99">
        <v>4</v>
      </c>
      <c r="D360" s="99">
        <f t="shared" si="25"/>
        <v>135</v>
      </c>
      <c r="E360" s="99">
        <f t="shared" si="26"/>
        <v>0</v>
      </c>
      <c r="F360" s="99">
        <f t="shared" si="27"/>
        <v>-56430000</v>
      </c>
      <c r="G360" s="99"/>
    </row>
    <row r="361" spans="1:12">
      <c r="A361" s="99" t="s">
        <v>5316</v>
      </c>
      <c r="B361" s="113">
        <v>-183136</v>
      </c>
      <c r="C361" s="99">
        <v>2</v>
      </c>
      <c r="D361" s="99">
        <f t="shared" si="25"/>
        <v>131</v>
      </c>
      <c r="E361" s="99">
        <f t="shared" si="26"/>
        <v>0</v>
      </c>
      <c r="F361" s="99">
        <f t="shared" si="27"/>
        <v>-23990816</v>
      </c>
      <c r="G361" s="99"/>
      <c r="L361" t="s">
        <v>25</v>
      </c>
    </row>
    <row r="362" spans="1:12">
      <c r="A362" s="99" t="s">
        <v>5346</v>
      </c>
      <c r="B362" s="113">
        <v>-18600</v>
      </c>
      <c r="C362" s="99">
        <v>2</v>
      </c>
      <c r="D362" s="99">
        <f t="shared" si="25"/>
        <v>129</v>
      </c>
      <c r="E362" s="99">
        <f t="shared" si="26"/>
        <v>0</v>
      </c>
      <c r="F362" s="99">
        <f t="shared" si="27"/>
        <v>-2399400</v>
      </c>
      <c r="G362" s="99"/>
    </row>
    <row r="363" spans="1:12">
      <c r="A363" s="99" t="s">
        <v>5328</v>
      </c>
      <c r="B363" s="113">
        <v>-90000</v>
      </c>
      <c r="C363" s="99">
        <v>1</v>
      </c>
      <c r="D363" s="99">
        <f t="shared" si="25"/>
        <v>127</v>
      </c>
      <c r="E363" s="99">
        <f t="shared" si="26"/>
        <v>0</v>
      </c>
      <c r="F363" s="99">
        <f t="shared" si="27"/>
        <v>-11430000</v>
      </c>
      <c r="G363" s="99"/>
    </row>
    <row r="364" spans="1:12">
      <c r="A364" s="99" t="s">
        <v>5329</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5332</v>
      </c>
      <c r="B368" s="113">
        <v>3500000</v>
      </c>
      <c r="C368" s="99">
        <v>3</v>
      </c>
      <c r="D368" s="99">
        <f t="shared" si="28"/>
        <v>124</v>
      </c>
      <c r="E368" s="99">
        <f t="shared" si="29"/>
        <v>0</v>
      </c>
      <c r="F368" s="99">
        <f t="shared" si="30"/>
        <v>434000000</v>
      </c>
      <c r="G368" s="99"/>
    </row>
    <row r="369" spans="1:11">
      <c r="A369" s="99" t="s">
        <v>5335</v>
      </c>
      <c r="B369" s="113">
        <v>-93800</v>
      </c>
      <c r="C369" s="99">
        <v>1</v>
      </c>
      <c r="D369" s="99">
        <f t="shared" si="28"/>
        <v>121</v>
      </c>
      <c r="E369" s="99">
        <f t="shared" si="29"/>
        <v>0</v>
      </c>
      <c r="F369" s="99">
        <f t="shared" si="30"/>
        <v>-11349800</v>
      </c>
      <c r="G369" s="99"/>
    </row>
    <row r="370" spans="1:11">
      <c r="A370" s="99" t="s">
        <v>5337</v>
      </c>
      <c r="B370" s="113">
        <v>-815500</v>
      </c>
      <c r="C370" s="99">
        <v>1</v>
      </c>
      <c r="D370" s="99">
        <f t="shared" si="28"/>
        <v>120</v>
      </c>
      <c r="E370" s="99">
        <f t="shared" si="29"/>
        <v>0</v>
      </c>
      <c r="F370" s="99">
        <f t="shared" si="30"/>
        <v>-97860000</v>
      </c>
      <c r="G370" s="99"/>
    </row>
    <row r="371" spans="1:11">
      <c r="A371" s="99" t="s">
        <v>5340</v>
      </c>
      <c r="B371" s="113">
        <v>-2096840</v>
      </c>
      <c r="C371" s="99">
        <v>0</v>
      </c>
      <c r="D371" s="99">
        <f t="shared" si="28"/>
        <v>119</v>
      </c>
      <c r="E371" s="99">
        <f t="shared" si="29"/>
        <v>1</v>
      </c>
      <c r="F371" s="99">
        <f t="shared" si="30"/>
        <v>-247427120</v>
      </c>
      <c r="G371" s="99"/>
    </row>
    <row r="372" spans="1:11">
      <c r="A372" s="99" t="s">
        <v>5340</v>
      </c>
      <c r="B372" s="113">
        <v>533</v>
      </c>
      <c r="C372" s="99">
        <v>1</v>
      </c>
      <c r="D372" s="99">
        <f t="shared" si="28"/>
        <v>119</v>
      </c>
      <c r="E372" s="99">
        <f t="shared" si="29"/>
        <v>1</v>
      </c>
      <c r="F372" s="99">
        <f t="shared" si="30"/>
        <v>62894</v>
      </c>
      <c r="G372" s="99"/>
      <c r="J372" t="s">
        <v>25</v>
      </c>
    </row>
    <row r="373" spans="1:11">
      <c r="A373" s="99" t="s">
        <v>5343</v>
      </c>
      <c r="B373" s="113">
        <v>4100000</v>
      </c>
      <c r="C373" s="99">
        <v>1</v>
      </c>
      <c r="D373" s="99">
        <f t="shared" si="28"/>
        <v>118</v>
      </c>
      <c r="E373" s="99">
        <f t="shared" si="29"/>
        <v>0</v>
      </c>
      <c r="F373" s="99">
        <f t="shared" si="30"/>
        <v>483800000</v>
      </c>
      <c r="G373" s="99"/>
    </row>
    <row r="374" spans="1:11">
      <c r="A374" s="99" t="s">
        <v>5347</v>
      </c>
      <c r="B374" s="113">
        <v>-3642549</v>
      </c>
      <c r="C374" s="99">
        <v>3</v>
      </c>
      <c r="D374" s="99">
        <f t="shared" si="28"/>
        <v>117</v>
      </c>
      <c r="E374" s="99">
        <f t="shared" si="29"/>
        <v>0</v>
      </c>
      <c r="F374" s="99">
        <f t="shared" si="30"/>
        <v>-426178233</v>
      </c>
      <c r="G374" s="99"/>
    </row>
    <row r="375" spans="1:11">
      <c r="A375" s="99" t="s">
        <v>5358</v>
      </c>
      <c r="B375" s="113">
        <v>-317091</v>
      </c>
      <c r="C375" s="99">
        <v>1</v>
      </c>
      <c r="D375" s="99">
        <f t="shared" si="28"/>
        <v>114</v>
      </c>
      <c r="E375" s="99">
        <f t="shared" si="29"/>
        <v>0</v>
      </c>
      <c r="F375" s="99">
        <f t="shared" si="30"/>
        <v>-36148374</v>
      </c>
      <c r="G375" s="99"/>
    </row>
    <row r="376" spans="1:11">
      <c r="A376" s="99" t="s">
        <v>5350</v>
      </c>
      <c r="B376" s="113">
        <v>-1600000</v>
      </c>
      <c r="C376" s="99">
        <v>1</v>
      </c>
      <c r="D376" s="99">
        <f t="shared" si="28"/>
        <v>113</v>
      </c>
      <c r="E376" s="99">
        <f t="shared" si="29"/>
        <v>0</v>
      </c>
      <c r="F376" s="99">
        <f t="shared" si="30"/>
        <v>-180800000</v>
      </c>
      <c r="G376" s="99"/>
    </row>
    <row r="377" spans="1:11">
      <c r="A377" s="99" t="s">
        <v>5353</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5432</v>
      </c>
      <c r="B379" s="113">
        <v>10000000</v>
      </c>
      <c r="C379" s="99">
        <v>0</v>
      </c>
      <c r="D379" s="99">
        <f t="shared" si="31"/>
        <v>89</v>
      </c>
      <c r="E379" s="99">
        <f t="shared" si="32"/>
        <v>0</v>
      </c>
      <c r="F379" s="99">
        <f t="shared" si="33"/>
        <v>890000000</v>
      </c>
      <c r="G379" s="99"/>
    </row>
    <row r="380" spans="1:11">
      <c r="A380" s="99" t="s">
        <v>5432</v>
      </c>
      <c r="B380" s="113">
        <v>-3000000</v>
      </c>
      <c r="C380" s="99">
        <v>0</v>
      </c>
      <c r="D380" s="99">
        <f t="shared" si="31"/>
        <v>89</v>
      </c>
      <c r="E380" s="99">
        <f t="shared" si="32"/>
        <v>0</v>
      </c>
      <c r="F380" s="99">
        <f t="shared" si="33"/>
        <v>-267000000</v>
      </c>
      <c r="G380" s="99"/>
    </row>
    <row r="381" spans="1:11">
      <c r="A381" s="99" t="s">
        <v>5432</v>
      </c>
      <c r="B381" s="113">
        <v>-3971300</v>
      </c>
      <c r="C381" s="99">
        <v>7</v>
      </c>
      <c r="D381" s="99">
        <f t="shared" si="31"/>
        <v>89</v>
      </c>
      <c r="E381" s="99">
        <f t="shared" si="32"/>
        <v>0</v>
      </c>
      <c r="F381" s="99">
        <f t="shared" si="33"/>
        <v>-353445700</v>
      </c>
      <c r="G381" s="99"/>
    </row>
    <row r="382" spans="1:11">
      <c r="A382" s="99" t="s">
        <v>5453</v>
      </c>
      <c r="B382" s="113">
        <v>-2472422</v>
      </c>
      <c r="C382" s="99">
        <v>2</v>
      </c>
      <c r="D382" s="99">
        <f t="shared" si="31"/>
        <v>82</v>
      </c>
      <c r="E382" s="99">
        <f t="shared" si="32"/>
        <v>0</v>
      </c>
      <c r="F382" s="99">
        <f t="shared" si="33"/>
        <v>-202738604</v>
      </c>
      <c r="G382" s="99"/>
    </row>
    <row r="383" spans="1:11">
      <c r="A383" s="99" t="s">
        <v>5481</v>
      </c>
      <c r="B383" s="113">
        <v>-345000</v>
      </c>
      <c r="C383" s="99">
        <v>1</v>
      </c>
      <c r="D383" s="99">
        <f t="shared" si="31"/>
        <v>80</v>
      </c>
      <c r="E383" s="99">
        <f t="shared" si="32"/>
        <v>0</v>
      </c>
      <c r="F383" s="99">
        <f t="shared" si="33"/>
        <v>-27600000</v>
      </c>
      <c r="G383" s="99"/>
    </row>
    <row r="384" spans="1:11">
      <c r="A384" s="99" t="s">
        <v>5482</v>
      </c>
      <c r="B384" s="113">
        <v>-200000</v>
      </c>
      <c r="C384" s="99">
        <v>10</v>
      </c>
      <c r="D384" s="99">
        <f t="shared" si="31"/>
        <v>79</v>
      </c>
      <c r="E384" s="99">
        <f t="shared" si="32"/>
        <v>1</v>
      </c>
      <c r="F384" s="99">
        <f t="shared" si="33"/>
        <v>-15600000</v>
      </c>
      <c r="G384" s="99"/>
    </row>
    <row r="385" spans="1:10">
      <c r="A385" s="99" t="s">
        <v>5477</v>
      </c>
      <c r="B385" s="113">
        <v>800000</v>
      </c>
      <c r="C385" s="99">
        <v>0</v>
      </c>
      <c r="D385" s="99">
        <f t="shared" si="31"/>
        <v>69</v>
      </c>
      <c r="E385" s="99">
        <f t="shared" si="32"/>
        <v>0</v>
      </c>
      <c r="F385" s="99">
        <f t="shared" si="33"/>
        <v>55200000</v>
      </c>
      <c r="G385" s="99"/>
    </row>
    <row r="386" spans="1:10">
      <c r="A386" s="99" t="s">
        <v>5477</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5483</v>
      </c>
      <c r="B389" s="113">
        <v>8000000</v>
      </c>
      <c r="C389" s="99">
        <v>1</v>
      </c>
      <c r="D389" s="99">
        <f t="shared" si="31"/>
        <v>67</v>
      </c>
      <c r="E389" s="99">
        <f t="shared" si="32"/>
        <v>0</v>
      </c>
      <c r="F389" s="99">
        <f t="shared" si="33"/>
        <v>536000000</v>
      </c>
      <c r="G389" s="99"/>
    </row>
    <row r="390" spans="1:10">
      <c r="A390" s="99" t="s">
        <v>5484</v>
      </c>
      <c r="B390" s="113">
        <v>-10000</v>
      </c>
      <c r="C390" s="99">
        <v>1</v>
      </c>
      <c r="D390" s="99">
        <f t="shared" si="31"/>
        <v>66</v>
      </c>
      <c r="E390" s="99">
        <f t="shared" si="32"/>
        <v>0</v>
      </c>
      <c r="F390" s="99">
        <f t="shared" si="33"/>
        <v>-660000</v>
      </c>
      <c r="G390" s="99"/>
    </row>
    <row r="391" spans="1:10">
      <c r="A391" s="99" t="s">
        <v>5485</v>
      </c>
      <c r="B391" s="113">
        <v>-88000</v>
      </c>
      <c r="C391" s="99">
        <v>1</v>
      </c>
      <c r="D391" s="99">
        <f t="shared" si="31"/>
        <v>65</v>
      </c>
      <c r="E391" s="99">
        <f t="shared" si="32"/>
        <v>0</v>
      </c>
      <c r="F391" s="99">
        <f t="shared" si="33"/>
        <v>-5720000</v>
      </c>
      <c r="G391" s="99"/>
    </row>
    <row r="392" spans="1:10">
      <c r="A392" s="99" t="s">
        <v>5486</v>
      </c>
      <c r="B392" s="113">
        <v>-297675</v>
      </c>
      <c r="C392" s="99">
        <v>3</v>
      </c>
      <c r="D392" s="99">
        <f t="shared" si="31"/>
        <v>64</v>
      </c>
      <c r="E392" s="99">
        <f t="shared" si="32"/>
        <v>0</v>
      </c>
      <c r="F392" s="99">
        <f t="shared" si="33"/>
        <v>-19051200</v>
      </c>
      <c r="G392" s="99"/>
    </row>
    <row r="393" spans="1:10">
      <c r="A393" s="99" t="s">
        <v>5478</v>
      </c>
      <c r="B393" s="113">
        <v>-10114121</v>
      </c>
      <c r="C393" s="99">
        <v>1</v>
      </c>
      <c r="D393" s="99">
        <f t="shared" si="31"/>
        <v>61</v>
      </c>
      <c r="E393" s="99">
        <f t="shared" si="32"/>
        <v>0</v>
      </c>
      <c r="F393" s="99">
        <f t="shared" si="33"/>
        <v>-616961381</v>
      </c>
      <c r="G393" s="99"/>
    </row>
    <row r="394" spans="1:10">
      <c r="A394" s="99" t="s">
        <v>5479</v>
      </c>
      <c r="B394" s="113">
        <v>-9000000</v>
      </c>
      <c r="C394" s="99">
        <v>1</v>
      </c>
      <c r="D394" s="99">
        <f t="shared" si="31"/>
        <v>60</v>
      </c>
      <c r="E394" s="99">
        <f t="shared" si="32"/>
        <v>0</v>
      </c>
      <c r="F394" s="99">
        <f t="shared" si="33"/>
        <v>-540000000</v>
      </c>
      <c r="G394" s="99"/>
      <c r="J394" s="114">
        <f>B422-743653+21500</f>
        <v>-621927</v>
      </c>
    </row>
    <row r="395" spans="1:10">
      <c r="A395" s="99" t="s">
        <v>5487</v>
      </c>
      <c r="B395" s="113">
        <v>-83930</v>
      </c>
      <c r="C395" s="99">
        <v>1</v>
      </c>
      <c r="D395" s="99">
        <f t="shared" si="31"/>
        <v>59</v>
      </c>
      <c r="E395" s="99">
        <f t="shared" si="32"/>
        <v>0</v>
      </c>
      <c r="F395" s="99">
        <f t="shared" si="33"/>
        <v>-4951870</v>
      </c>
      <c r="G395" s="99"/>
    </row>
    <row r="396" spans="1:10">
      <c r="A396" s="99" t="s">
        <v>5488</v>
      </c>
      <c r="B396" s="113">
        <v>-19520</v>
      </c>
      <c r="C396" s="99">
        <v>0</v>
      </c>
      <c r="D396" s="99">
        <f t="shared" si="31"/>
        <v>58</v>
      </c>
      <c r="E396" s="99">
        <f t="shared" si="32"/>
        <v>0</v>
      </c>
      <c r="F396" s="99">
        <f t="shared" si="33"/>
        <v>-1132160</v>
      </c>
      <c r="G396" s="99"/>
    </row>
    <row r="397" spans="1:10">
      <c r="A397" s="99" t="s">
        <v>5488</v>
      </c>
      <c r="B397" s="113">
        <v>-676034</v>
      </c>
      <c r="C397" s="99">
        <v>27</v>
      </c>
      <c r="D397" s="99">
        <f t="shared" si="31"/>
        <v>58</v>
      </c>
      <c r="E397" s="99">
        <f t="shared" si="32"/>
        <v>1</v>
      </c>
      <c r="F397" s="99">
        <f t="shared" si="33"/>
        <v>-38533938</v>
      </c>
      <c r="G397" s="99"/>
    </row>
    <row r="398" spans="1:10">
      <c r="A398" s="99" t="s">
        <v>5536</v>
      </c>
      <c r="B398" s="113">
        <v>2200000</v>
      </c>
      <c r="C398" s="99">
        <v>2</v>
      </c>
      <c r="D398" s="99">
        <f t="shared" si="31"/>
        <v>31</v>
      </c>
      <c r="E398" s="99">
        <f t="shared" si="32"/>
        <v>0</v>
      </c>
      <c r="F398" s="99">
        <f t="shared" si="33"/>
        <v>68200000</v>
      </c>
      <c r="G398" s="99"/>
    </row>
    <row r="399" spans="1:10">
      <c r="A399" s="99" t="s">
        <v>5542</v>
      </c>
      <c r="B399" s="113">
        <v>-2000000</v>
      </c>
      <c r="C399" s="99">
        <v>1</v>
      </c>
      <c r="D399" s="99">
        <f t="shared" si="31"/>
        <v>29</v>
      </c>
      <c r="E399" s="99">
        <f t="shared" si="32"/>
        <v>0</v>
      </c>
      <c r="F399" s="99">
        <f t="shared" si="33"/>
        <v>-58000000</v>
      </c>
      <c r="G399" s="99"/>
    </row>
    <row r="400" spans="1:10">
      <c r="A400" s="99" t="s">
        <v>5544</v>
      </c>
      <c r="B400" s="113">
        <v>-28400</v>
      </c>
      <c r="C400" s="99">
        <v>1</v>
      </c>
      <c r="D400" s="99">
        <f t="shared" si="31"/>
        <v>28</v>
      </c>
      <c r="E400" s="99">
        <f t="shared" si="32"/>
        <v>0</v>
      </c>
      <c r="F400" s="99">
        <f t="shared" si="33"/>
        <v>-795200</v>
      </c>
      <c r="G400" s="99"/>
    </row>
    <row r="401" spans="1:15">
      <c r="A401" s="99" t="s">
        <v>5546</v>
      </c>
      <c r="B401" s="113">
        <v>-126475</v>
      </c>
      <c r="C401" s="99">
        <v>1</v>
      </c>
      <c r="D401" s="99">
        <f t="shared" si="31"/>
        <v>27</v>
      </c>
      <c r="E401" s="99">
        <f t="shared" si="32"/>
        <v>0</v>
      </c>
      <c r="F401" s="99">
        <f t="shared" si="33"/>
        <v>-3414825</v>
      </c>
      <c r="G401" s="99"/>
    </row>
    <row r="402" spans="1:15">
      <c r="A402" s="99" t="s">
        <v>5545</v>
      </c>
      <c r="B402" s="113">
        <v>-32807</v>
      </c>
      <c r="C402" s="99">
        <v>4</v>
      </c>
      <c r="D402" s="99">
        <f t="shared" si="31"/>
        <v>26</v>
      </c>
      <c r="E402" s="99">
        <f t="shared" si="32"/>
        <v>0</v>
      </c>
      <c r="F402" s="99">
        <f t="shared" si="33"/>
        <v>-852982</v>
      </c>
      <c r="G402" s="99"/>
    </row>
    <row r="403" spans="1:15">
      <c r="A403" s="99" t="s">
        <v>5550</v>
      </c>
      <c r="B403" s="113">
        <v>-11700</v>
      </c>
      <c r="C403" s="99">
        <v>7</v>
      </c>
      <c r="D403" s="99">
        <f t="shared" si="31"/>
        <v>22</v>
      </c>
      <c r="E403" s="99">
        <f t="shared" si="32"/>
        <v>1</v>
      </c>
      <c r="F403" s="99">
        <f t="shared" si="33"/>
        <v>-245700</v>
      </c>
      <c r="G403" s="99"/>
    </row>
    <row r="404" spans="1:15">
      <c r="A404" s="99" t="s">
        <v>5568</v>
      </c>
      <c r="B404" s="113">
        <v>5032773</v>
      </c>
      <c r="C404" s="99">
        <v>0</v>
      </c>
      <c r="D404" s="99">
        <f t="shared" si="31"/>
        <v>15</v>
      </c>
      <c r="E404" s="99">
        <f t="shared" si="32"/>
        <v>0</v>
      </c>
      <c r="F404" s="99">
        <f t="shared" si="33"/>
        <v>75491595</v>
      </c>
      <c r="G404" s="99"/>
    </row>
    <row r="405" spans="1:15">
      <c r="A405" s="99" t="s">
        <v>5568</v>
      </c>
      <c r="B405" s="113">
        <v>-5000000</v>
      </c>
      <c r="C405" s="99">
        <v>13</v>
      </c>
      <c r="D405" s="99">
        <f t="shared" si="31"/>
        <v>15</v>
      </c>
      <c r="E405" s="99">
        <f t="shared" si="32"/>
        <v>1</v>
      </c>
      <c r="F405" s="99">
        <f t="shared" si="33"/>
        <v>-70000000</v>
      </c>
      <c r="G405" s="99"/>
    </row>
    <row r="406" spans="1:15">
      <c r="A406" s="99" t="s">
        <v>5621</v>
      </c>
      <c r="B406" s="113">
        <v>1200000</v>
      </c>
      <c r="C406" s="99">
        <v>1</v>
      </c>
      <c r="D406" s="99">
        <f t="shared" si="31"/>
        <v>2</v>
      </c>
      <c r="E406" s="99">
        <f t="shared" si="32"/>
        <v>0</v>
      </c>
      <c r="F406" s="99">
        <f t="shared" si="33"/>
        <v>2400000</v>
      </c>
      <c r="G406" s="99"/>
    </row>
    <row r="407" spans="1:15">
      <c r="A407" s="99" t="s">
        <v>5593</v>
      </c>
      <c r="B407" s="113">
        <v>-1200000</v>
      </c>
      <c r="C407" s="99">
        <v>0</v>
      </c>
      <c r="D407" s="99">
        <f t="shared" si="31"/>
        <v>1</v>
      </c>
      <c r="E407" s="99">
        <f t="shared" si="32"/>
        <v>0</v>
      </c>
      <c r="F407" s="99">
        <f t="shared" si="33"/>
        <v>-1200000</v>
      </c>
      <c r="G407" s="99"/>
      <c r="O407" t="s">
        <v>25</v>
      </c>
    </row>
    <row r="408" spans="1:15">
      <c r="A408" s="99" t="s">
        <v>5593</v>
      </c>
      <c r="B408" s="113">
        <v>-784</v>
      </c>
      <c r="C408" s="99">
        <v>1</v>
      </c>
      <c r="D408" s="99">
        <f t="shared" si="31"/>
        <v>1</v>
      </c>
      <c r="E408" s="99">
        <f t="shared" si="32"/>
        <v>0</v>
      </c>
      <c r="F408" s="99">
        <f t="shared" si="33"/>
        <v>-784</v>
      </c>
      <c r="G408" s="99" t="s">
        <v>5622</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D124"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602</v>
      </c>
      <c r="T20" s="168" t="s">
        <v>4298</v>
      </c>
      <c r="U20" s="168">
        <v>192.1</v>
      </c>
      <c r="V20" s="168">
        <f t="shared" ref="V20:V54" si="6">U20*(1+$R$87+$Q$15*S20/36500)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3568659873.0541482</v>
      </c>
      <c r="M21" s="168" t="s">
        <v>4290</v>
      </c>
      <c r="N21" s="113">
        <f>O21*P21</f>
        <v>1547952158.5</v>
      </c>
      <c r="O21" s="99">
        <v>1309715</v>
      </c>
      <c r="P21" s="185">
        <f>P52</f>
        <v>1181.9000000000001</v>
      </c>
      <c r="Q21" s="169">
        <v>1353959</v>
      </c>
      <c r="R21" s="168" t="s">
        <v>4415</v>
      </c>
      <c r="S21" s="198">
        <f>S20-59</f>
        <v>543</v>
      </c>
      <c r="T21" s="19" t="s">
        <v>4453</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5640</v>
      </c>
      <c r="N22" s="113">
        <f>O22*P22</f>
        <v>476599.8</v>
      </c>
      <c r="O22" s="99">
        <v>57</v>
      </c>
      <c r="P22" s="185">
        <f>P46</f>
        <v>8361.4</v>
      </c>
      <c r="Q22" s="169">
        <v>1614398</v>
      </c>
      <c r="R22" s="168" t="s">
        <v>4421</v>
      </c>
      <c r="S22" s="168">
        <f>S21-3</f>
        <v>540</v>
      </c>
      <c r="T22" s="19" t="s">
        <v>4486</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557266905</v>
      </c>
      <c r="O23" s="99">
        <v>41985</v>
      </c>
      <c r="P23" s="185">
        <f>P48</f>
        <v>13273</v>
      </c>
      <c r="Q23" s="169">
        <v>133576</v>
      </c>
      <c r="R23" s="168" t="s">
        <v>4493</v>
      </c>
      <c r="S23" s="197">
        <f>S22-22</f>
        <v>518</v>
      </c>
      <c r="T23" s="168" t="s">
        <v>4494</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3706164883.0541482</v>
      </c>
      <c r="G24" s="95">
        <f t="shared" si="0"/>
        <v>-3425858537.6722097</v>
      </c>
      <c r="H24" s="11"/>
      <c r="I24" s="96"/>
      <c r="J24" s="96"/>
      <c r="K24" s="213"/>
      <c r="L24" s="117"/>
      <c r="M24" s="213" t="s">
        <v>5598</v>
      </c>
      <c r="N24" s="113">
        <f>O24*P24</f>
        <v>2000000</v>
      </c>
      <c r="O24" s="99">
        <v>200</v>
      </c>
      <c r="P24" s="185">
        <f>P51</f>
        <v>10000</v>
      </c>
      <c r="Q24" s="169">
        <v>220803</v>
      </c>
      <c r="R24" s="168" t="s">
        <v>4221</v>
      </c>
      <c r="S24" s="197">
        <f>S23-1</f>
        <v>517</v>
      </c>
      <c r="T24" s="168" t="s">
        <v>4500</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481793.6</v>
      </c>
      <c r="O25" s="99">
        <v>34</v>
      </c>
      <c r="P25" s="185">
        <f>P47</f>
        <v>14170.4</v>
      </c>
      <c r="Q25" s="169">
        <v>1023940</v>
      </c>
      <c r="R25" s="168" t="s">
        <v>4501</v>
      </c>
      <c r="S25" s="197">
        <f>S24-2</f>
        <v>515</v>
      </c>
      <c r="T25" s="168" t="s">
        <v>4507</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-25522516</v>
      </c>
      <c r="M26" s="168"/>
      <c r="N26" s="113"/>
      <c r="O26" s="69"/>
      <c r="P26" s="99"/>
      <c r="Q26" s="169">
        <v>168846</v>
      </c>
      <c r="R26" s="168" t="s">
        <v>3687</v>
      </c>
      <c r="S26" s="197">
        <f>S25-28</f>
        <v>487</v>
      </c>
      <c r="T26" s="168" t="s">
        <v>4592</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454</v>
      </c>
      <c r="T27" s="213" t="s">
        <v>4692</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21873904</v>
      </c>
      <c r="O28" s="69">
        <v>1648</v>
      </c>
      <c r="P28" s="99">
        <f>P48</f>
        <v>13273</v>
      </c>
      <c r="Q28" s="169">
        <v>1204691</v>
      </c>
      <c r="R28" s="213" t="s">
        <v>4912</v>
      </c>
      <c r="S28" s="197">
        <f>S27-76</f>
        <v>378</v>
      </c>
      <c r="T28" s="213" t="s">
        <v>4913</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5640</v>
      </c>
      <c r="N29" s="113">
        <f>O29*P29</f>
        <v>484961.19999999995</v>
      </c>
      <c r="O29" s="69">
        <v>58</v>
      </c>
      <c r="P29" s="99">
        <f>P46</f>
        <v>8361.4</v>
      </c>
      <c r="Q29" s="169">
        <v>15011877</v>
      </c>
      <c r="R29" s="213" t="s">
        <v>4916</v>
      </c>
      <c r="S29" s="197">
        <f>S28-3</f>
        <v>375</v>
      </c>
      <c r="T29" s="213" t="s">
        <v>4920</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5598</v>
      </c>
      <c r="N30" s="113">
        <f>O30*P30</f>
        <v>1990000</v>
      </c>
      <c r="O30" s="69">
        <v>199</v>
      </c>
      <c r="P30" s="99">
        <f>P51</f>
        <v>10000</v>
      </c>
      <c r="Q30" s="169">
        <v>12803120</v>
      </c>
      <c r="R30" s="213" t="s">
        <v>4929</v>
      </c>
      <c r="S30" s="197">
        <f>S29-5</f>
        <v>370</v>
      </c>
      <c r="T30" s="213" t="s">
        <v>4931</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214297380.40000001</v>
      </c>
      <c r="O31" s="69">
        <v>181316</v>
      </c>
      <c r="P31" s="99">
        <f>P52</f>
        <v>1181.9000000000001</v>
      </c>
      <c r="Q31" s="169">
        <v>100562</v>
      </c>
      <c r="R31" s="213" t="s">
        <v>4937</v>
      </c>
      <c r="S31" s="197">
        <f>S30-6</f>
        <v>364</v>
      </c>
      <c r="T31" s="213" t="s">
        <v>4938</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362</v>
      </c>
      <c r="T32" s="213" t="s">
        <v>5555</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203</v>
      </c>
      <c r="T33" s="213" t="s">
        <v>5255</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-W160</f>
        <v>-3568659873.0541482</v>
      </c>
      <c r="Q34" s="169">
        <v>16396298</v>
      </c>
      <c r="R34" s="213" t="s">
        <v>5497</v>
      </c>
      <c r="S34" s="197">
        <f>S33-156</f>
        <v>47</v>
      </c>
      <c r="T34" s="213" t="s">
        <v>5498</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5505</v>
      </c>
      <c r="S35" s="197">
        <f>S34-8</f>
        <v>39</v>
      </c>
      <c r="T35" s="213" t="s">
        <v>5507</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5508</v>
      </c>
      <c r="S36" s="197">
        <f>S35-1</f>
        <v>38</v>
      </c>
      <c r="T36" s="213" t="s">
        <v>5509</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5512</v>
      </c>
      <c r="S37" s="197">
        <f>S36-4</f>
        <v>34</v>
      </c>
      <c r="T37" s="213" t="s">
        <v>5513</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5515</v>
      </c>
      <c r="S38" s="197">
        <f>S37-2</f>
        <v>32</v>
      </c>
      <c r="T38" s="213" t="s">
        <v>5517</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5442</v>
      </c>
      <c r="N39" s="113">
        <v>-14000000</v>
      </c>
      <c r="Q39" s="169">
        <v>29256748</v>
      </c>
      <c r="R39" s="213" t="s">
        <v>5518</v>
      </c>
      <c r="S39" s="197">
        <f>S38-1</f>
        <v>31</v>
      </c>
      <c r="T39" s="213" t="s">
        <v>5522</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5526</v>
      </c>
      <c r="S40" s="197">
        <f>S39-3</f>
        <v>28</v>
      </c>
      <c r="T40" s="213" t="s">
        <v>5528</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5530</v>
      </c>
      <c r="S41" s="197">
        <f>S40-1</f>
        <v>27</v>
      </c>
      <c r="T41" s="213" t="s">
        <v>5531</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2270</v>
      </c>
      <c r="O42" s="114"/>
      <c r="P42" t="s">
        <v>25</v>
      </c>
      <c r="Q42" s="169">
        <v>291615</v>
      </c>
      <c r="R42" s="213" t="s">
        <v>5530</v>
      </c>
      <c r="S42" s="197">
        <f>S41</f>
        <v>27</v>
      </c>
      <c r="T42" s="213" t="s">
        <v>5641</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5643</v>
      </c>
      <c r="L43" s="117">
        <v>-70000000</v>
      </c>
      <c r="M43" s="168"/>
      <c r="N43" s="113"/>
      <c r="O43" s="99"/>
      <c r="P43" s="99"/>
      <c r="Q43" s="169">
        <v>7413007</v>
      </c>
      <c r="R43" s="213" t="s">
        <v>5542</v>
      </c>
      <c r="S43" s="197">
        <f>S42-6</f>
        <v>21</v>
      </c>
      <c r="T43" s="213" t="s">
        <v>5543</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5571</v>
      </c>
      <c r="L44" s="117">
        <v>-35425716</v>
      </c>
      <c r="M44" s="21" t="s">
        <v>5652</v>
      </c>
      <c r="N44" s="117">
        <f>O44*P44</f>
        <v>71833476</v>
      </c>
      <c r="O44" s="69">
        <v>5412</v>
      </c>
      <c r="P44" s="69">
        <f>P48</f>
        <v>13273</v>
      </c>
      <c r="Q44" s="169">
        <v>64446280</v>
      </c>
      <c r="R44" s="213" t="s">
        <v>5545</v>
      </c>
      <c r="S44" s="197">
        <f>S43-3</f>
        <v>18</v>
      </c>
      <c r="T44" s="213" t="s">
        <v>5548</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5653</v>
      </c>
      <c r="L45" s="117">
        <f>N44</f>
        <v>71833476</v>
      </c>
      <c r="M45" s="21" t="s">
        <v>5324</v>
      </c>
      <c r="N45" s="117">
        <f t="shared" ref="N45:N55" si="16">O45*P45</f>
        <v>0</v>
      </c>
      <c r="O45" s="69">
        <v>0</v>
      </c>
      <c r="P45" s="69">
        <v>86500</v>
      </c>
      <c r="Q45" s="169">
        <v>213700698.66730785</v>
      </c>
      <c r="R45" s="213" t="s">
        <v>5394</v>
      </c>
      <c r="S45" s="197">
        <f>S44-6</f>
        <v>12</v>
      </c>
      <c r="T45" s="213" t="s">
        <v>5583</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5644</v>
      </c>
      <c r="L46" s="117">
        <f>J148</f>
        <v>258544767</v>
      </c>
      <c r="M46" s="21" t="s">
        <v>5640</v>
      </c>
      <c r="N46" s="117">
        <f t="shared" si="16"/>
        <v>476599.8</v>
      </c>
      <c r="O46" s="69">
        <v>57</v>
      </c>
      <c r="P46" s="69">
        <v>8361.4</v>
      </c>
      <c r="Q46" s="169">
        <v>35002507</v>
      </c>
      <c r="R46" s="213" t="s">
        <v>5551</v>
      </c>
      <c r="S46" s="197">
        <f>S45-1</f>
        <v>11</v>
      </c>
      <c r="T46" s="213" t="s">
        <v>5582</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22729321.599999998</v>
      </c>
      <c r="O47" s="69">
        <v>1604</v>
      </c>
      <c r="P47" s="69">
        <v>14170.4</v>
      </c>
      <c r="Q47" s="169">
        <v>5030993</v>
      </c>
      <c r="R47" s="213" t="s">
        <v>5563</v>
      </c>
      <c r="S47" s="197">
        <f>S46-1</f>
        <v>10</v>
      </c>
      <c r="T47" s="213" t="s">
        <v>5564</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1600697254</v>
      </c>
      <c r="O48" s="69">
        <v>120598</v>
      </c>
      <c r="P48" s="69">
        <v>13273</v>
      </c>
      <c r="Q48" s="169">
        <v>155128993</v>
      </c>
      <c r="R48" s="213" t="s">
        <v>5580</v>
      </c>
      <c r="S48" s="197">
        <f>S47-11</f>
        <v>-1</v>
      </c>
      <c r="T48" s="213" t="s">
        <v>5581</v>
      </c>
      <c r="U48" s="213">
        <v>860.2</v>
      </c>
      <c r="V48" s="213">
        <f t="shared" si="6"/>
        <v>872.61516054794538</v>
      </c>
      <c r="W48" s="32">
        <f t="shared" ref="W48:W49" si="17">V48*(1+$W$19/100)</f>
        <v>890.0674637589043</v>
      </c>
      <c r="X48" s="32">
        <f t="shared" ref="X48:X49" si="18">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5387</v>
      </c>
      <c r="N49" s="117">
        <f t="shared" si="16"/>
        <v>0</v>
      </c>
      <c r="O49" s="69">
        <v>0</v>
      </c>
      <c r="P49" s="69">
        <v>772.2</v>
      </c>
      <c r="Q49" s="169">
        <v>49885352</v>
      </c>
      <c r="R49" s="213" t="s">
        <v>5585</v>
      </c>
      <c r="S49" s="197">
        <f>S48-2</f>
        <v>-3</v>
      </c>
      <c r="T49" s="213" t="s">
        <v>5609</v>
      </c>
      <c r="U49" s="213">
        <v>875.9</v>
      </c>
      <c r="V49" s="213">
        <f t="shared" si="6"/>
        <v>887.19791013698637</v>
      </c>
      <c r="W49" s="32">
        <f t="shared" si="17"/>
        <v>904.94186833972606</v>
      </c>
      <c r="X49" s="32">
        <f t="shared" si="18"/>
        <v>922.68582654246586</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7402</v>
      </c>
      <c r="Q50" s="169">
        <v>7739400</v>
      </c>
      <c r="R50" s="213" t="s">
        <v>5593</v>
      </c>
      <c r="S50" s="197">
        <f>S49-4</f>
        <v>-7</v>
      </c>
      <c r="T50" s="213" t="s">
        <v>5608</v>
      </c>
      <c r="U50" s="213">
        <v>11053.7</v>
      </c>
      <c r="V50" s="213">
        <f t="shared" si="6"/>
        <v>11162.35938520548</v>
      </c>
      <c r="W50" s="32">
        <f t="shared" ref="W50:W54" si="19">V50*(1+$W$19/100)</f>
        <v>11385.60657290959</v>
      </c>
      <c r="X50" s="32">
        <f t="shared" ref="X50:X54" si="20">V50*(1+$X$19/100)</f>
        <v>11608.8537606137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5599</v>
      </c>
      <c r="N51" s="117">
        <f t="shared" si="16"/>
        <v>1990000</v>
      </c>
      <c r="O51" s="69">
        <v>199</v>
      </c>
      <c r="P51" s="69">
        <v>10000</v>
      </c>
      <c r="Q51" s="169">
        <v>372863</v>
      </c>
      <c r="R51" s="213" t="s">
        <v>5619</v>
      </c>
      <c r="S51" s="197">
        <f>S50-4</f>
        <v>-11</v>
      </c>
      <c r="T51" s="213" t="s">
        <v>5646</v>
      </c>
      <c r="U51" s="213">
        <v>6511.9</v>
      </c>
      <c r="V51" s="213">
        <f t="shared" si="6"/>
        <v>6555.9311484931513</v>
      </c>
      <c r="W51" s="32">
        <f t="shared" si="19"/>
        <v>6687.0497714630146</v>
      </c>
      <c r="X51" s="32">
        <f t="shared" si="20"/>
        <v>6818.1683944328779</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5607</v>
      </c>
      <c r="L52" s="117">
        <f>-5022711-4900*P52-20000000</f>
        <v>-30814021</v>
      </c>
      <c r="M52" s="19" t="s">
        <v>4173</v>
      </c>
      <c r="N52" s="113">
        <f>O52*P52</f>
        <v>2717900785.7000003</v>
      </c>
      <c r="O52" s="99">
        <v>2299603</v>
      </c>
      <c r="P52" s="99">
        <v>1181.9000000000001</v>
      </c>
      <c r="Q52" s="169">
        <v>20015559</v>
      </c>
      <c r="R52" s="213" t="s">
        <v>5620</v>
      </c>
      <c r="S52" s="197">
        <f>S51-3</f>
        <v>-14</v>
      </c>
      <c r="T52" s="213" t="s">
        <v>5648</v>
      </c>
      <c r="U52" s="213">
        <v>11700</v>
      </c>
      <c r="V52" s="213">
        <f t="shared" si="6"/>
        <v>11752.185205479453</v>
      </c>
      <c r="W52" s="32">
        <f t="shared" si="19"/>
        <v>11987.228909589041</v>
      </c>
      <c r="X52" s="32">
        <f t="shared" si="20"/>
        <v>12222.272613698631</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5659</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725000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1217060978.9582899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602</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540</v>
      </c>
      <c r="T61" s="190" t="s">
        <v>4487</v>
      </c>
      <c r="U61" s="168">
        <v>184.6</v>
      </c>
      <c r="V61" s="168">
        <f t="shared" ref="V61:V80" si="21">U61*(1+$R$87+$Q$15*S61/36500)</f>
        <v>263.87583780821922</v>
      </c>
      <c r="W61" s="32">
        <f t="shared" ref="W61:W71" si="22">V61*(1+$W$19/100)</f>
        <v>269.15335456438362</v>
      </c>
      <c r="X61" s="32">
        <f t="shared" ref="X61:X71" si="23">V61*(1+$X$19/100)</f>
        <v>274.43087132054802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-W161</f>
        <v>-94815798.128385991</v>
      </c>
      <c r="Q62" s="169">
        <v>1692313</v>
      </c>
      <c r="R62" s="168" t="s">
        <v>4490</v>
      </c>
      <c r="S62" s="197">
        <f>S61-21</f>
        <v>519</v>
      </c>
      <c r="T62" s="189" t="s">
        <v>4491</v>
      </c>
      <c r="U62" s="168">
        <v>168.5</v>
      </c>
      <c r="V62" s="168">
        <f t="shared" si="21"/>
        <v>238.14728219178085</v>
      </c>
      <c r="W62" s="32">
        <f t="shared" si="22"/>
        <v>242.91022783561647</v>
      </c>
      <c r="X62" s="32">
        <f t="shared" si="23"/>
        <v>247.67317347945209</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518</v>
      </c>
      <c r="T63" s="189" t="s">
        <v>4495</v>
      </c>
      <c r="U63" s="168">
        <v>166.7</v>
      </c>
      <c r="V63" s="168">
        <f t="shared" si="21"/>
        <v>235.47539616438357</v>
      </c>
      <c r="W63" s="32">
        <f t="shared" si="22"/>
        <v>240.18490408767124</v>
      </c>
      <c r="X63" s="32">
        <f t="shared" si="23"/>
        <v>244.89441201095892</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517</v>
      </c>
      <c r="T64" s="189" t="s">
        <v>4499</v>
      </c>
      <c r="U64" s="168">
        <v>166.6</v>
      </c>
      <c r="V64" s="168">
        <f t="shared" si="21"/>
        <v>235.20633643835617</v>
      </c>
      <c r="W64" s="32">
        <f t="shared" si="22"/>
        <v>239.91046316712331</v>
      </c>
      <c r="X64" s="32">
        <f t="shared" si="23"/>
        <v>244.61458989589042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3042901253.4174657</v>
      </c>
      <c r="P65" t="s">
        <v>25</v>
      </c>
      <c r="Q65" s="169">
        <v>168846</v>
      </c>
      <c r="R65" s="168" t="s">
        <v>3687</v>
      </c>
      <c r="S65" s="197">
        <f>S64-30</f>
        <v>487</v>
      </c>
      <c r="T65" s="189" t="s">
        <v>4592</v>
      </c>
      <c r="U65" s="168">
        <v>172.2</v>
      </c>
      <c r="V65" s="168">
        <f t="shared" si="21"/>
        <v>239.14947287671234</v>
      </c>
      <c r="W65" s="32">
        <f t="shared" si="22"/>
        <v>243.93246233424659</v>
      </c>
      <c r="X65" s="32">
        <f t="shared" si="23"/>
        <v>248.71545179178085</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3706164883.0541482</v>
      </c>
      <c r="M66" s="168"/>
      <c r="N66" s="113">
        <f>N16+N17+N35</f>
        <v>641053</v>
      </c>
      <c r="Q66" s="169">
        <v>19918023</v>
      </c>
      <c r="R66" s="5" t="s">
        <v>4826</v>
      </c>
      <c r="S66" s="197">
        <f>S65-75</f>
        <v>412</v>
      </c>
      <c r="T66" s="189" t="s">
        <v>4828</v>
      </c>
      <c r="U66" s="213">
        <v>183</v>
      </c>
      <c r="V66" s="213">
        <f t="shared" si="21"/>
        <v>243.61962739726027</v>
      </c>
      <c r="W66" s="32">
        <f t="shared" si="22"/>
        <v>248.49201994520547</v>
      </c>
      <c r="X66" s="32">
        <f t="shared" si="23"/>
        <v>253.3644124931507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378</v>
      </c>
      <c r="T67" s="189" t="s">
        <v>4914</v>
      </c>
      <c r="U67" s="213">
        <v>218.5</v>
      </c>
      <c r="V67" s="213">
        <f t="shared" si="21"/>
        <v>285.18021369863015</v>
      </c>
      <c r="W67" s="32">
        <f t="shared" si="22"/>
        <v>290.88381797260274</v>
      </c>
      <c r="X67" s="32">
        <f t="shared" si="23"/>
        <v>296.58742224657539</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3806164883.0541482</v>
      </c>
      <c r="O68" s="96"/>
      <c r="P68" s="96"/>
      <c r="Q68" s="169">
        <v>6135206</v>
      </c>
      <c r="R68" s="19" t="s">
        <v>4941</v>
      </c>
      <c r="S68" s="197">
        <f>S67-16</f>
        <v>362</v>
      </c>
      <c r="T68" s="189" t="s">
        <v>4942</v>
      </c>
      <c r="U68" s="213">
        <v>196.2</v>
      </c>
      <c r="V68" s="213">
        <f t="shared" si="21"/>
        <v>253.66671123287674</v>
      </c>
      <c r="W68" s="32">
        <f t="shared" si="22"/>
        <v>258.74004545753428</v>
      </c>
      <c r="X68" s="32">
        <f t="shared" si="23"/>
        <v>263.81337968219179</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353</v>
      </c>
      <c r="T69" s="189" t="s">
        <v>4960</v>
      </c>
      <c r="U69" s="213">
        <v>199.8</v>
      </c>
      <c r="V69" s="213">
        <f t="shared" si="21"/>
        <v>256.94170520547948</v>
      </c>
      <c r="W69" s="32">
        <f t="shared" si="22"/>
        <v>262.08053930958908</v>
      </c>
      <c r="X69" s="32">
        <f t="shared" si="23"/>
        <v>267.21937341369869</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5287</v>
      </c>
      <c r="O70" s="96" t="s">
        <v>25</v>
      </c>
      <c r="P70" s="115"/>
      <c r="Q70" s="169">
        <v>119253</v>
      </c>
      <c r="R70" s="19" t="s">
        <v>4963</v>
      </c>
      <c r="S70" s="197">
        <f>S69-3</f>
        <v>350</v>
      </c>
      <c r="T70" s="189" t="s">
        <v>4964</v>
      </c>
      <c r="U70" s="213">
        <v>199.5</v>
      </c>
      <c r="V70" s="213">
        <f t="shared" si="21"/>
        <v>256.09678356164386</v>
      </c>
      <c r="W70" s="32">
        <f t="shared" si="22"/>
        <v>261.21871923287677</v>
      </c>
      <c r="X70" s="32">
        <f t="shared" si="23"/>
        <v>266.34065490410961</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341</v>
      </c>
      <c r="T71" s="189" t="s">
        <v>5452</v>
      </c>
      <c r="U71" s="213">
        <v>200</v>
      </c>
      <c r="V71" s="213">
        <f t="shared" si="21"/>
        <v>255.35780821917814</v>
      </c>
      <c r="W71" s="32">
        <f t="shared" si="22"/>
        <v>260.46496438356172</v>
      </c>
      <c r="X71" s="32">
        <f t="shared" si="23"/>
        <v>265.57212054794525</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5446</v>
      </c>
      <c r="S72" s="197">
        <f>S71-265</f>
        <v>76</v>
      </c>
      <c r="T72" s="189" t="s">
        <v>5451</v>
      </c>
      <c r="U72" s="213">
        <v>7792.9</v>
      </c>
      <c r="V72" s="213">
        <f t="shared" si="21"/>
        <v>8365.6888252054796</v>
      </c>
      <c r="W72" s="32">
        <f t="shared" ref="W72:W82" si="25">V72*(1+$W$19/100)</f>
        <v>8533.0026017095897</v>
      </c>
      <c r="X72" s="32">
        <f t="shared" ref="X72:X82" si="26">V72*(1+$X$19/100)</f>
        <v>8700.3163782136999</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5453</v>
      </c>
      <c r="S73" s="197">
        <f>S72-2</f>
        <v>74</v>
      </c>
      <c r="T73" s="189" t="s">
        <v>5456</v>
      </c>
      <c r="U73" s="213">
        <v>8086.9</v>
      </c>
      <c r="V73" s="213">
        <f t="shared" si="21"/>
        <v>8668.8909293150682</v>
      </c>
      <c r="W73" s="32">
        <f t="shared" si="25"/>
        <v>8842.2687479013694</v>
      </c>
      <c r="X73" s="32">
        <f t="shared" si="26"/>
        <v>9015.6465664876705</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5466</v>
      </c>
      <c r="S74" s="197">
        <f>S73-6</f>
        <v>68</v>
      </c>
      <c r="T74" s="189" t="s">
        <v>5473</v>
      </c>
      <c r="U74" s="213">
        <v>500.5</v>
      </c>
      <c r="V74" s="213">
        <f t="shared" si="21"/>
        <v>534.21587397260282</v>
      </c>
      <c r="W74" s="32">
        <f t="shared" si="25"/>
        <v>544.90019145205486</v>
      </c>
      <c r="X74" s="32">
        <f t="shared" si="26"/>
        <v>555.584508931507</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5475</v>
      </c>
      <c r="S75" s="197">
        <f>S74-5</f>
        <v>63</v>
      </c>
      <c r="T75" s="189" t="s">
        <v>5476</v>
      </c>
      <c r="U75" s="213">
        <v>460</v>
      </c>
      <c r="V75" s="213">
        <f t="shared" si="21"/>
        <v>489.22323287671242</v>
      </c>
      <c r="W75" s="32">
        <f t="shared" si="25"/>
        <v>499.00769753424669</v>
      </c>
      <c r="X75" s="32">
        <f t="shared" si="26"/>
        <v>508.7921621917809</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5503</v>
      </c>
      <c r="S76" s="197">
        <f>S75-23</f>
        <v>40</v>
      </c>
      <c r="T76" s="189" t="s">
        <v>5504</v>
      </c>
      <c r="U76" s="213">
        <v>484.7</v>
      </c>
      <c r="V76" s="213">
        <f t="shared" si="21"/>
        <v>506.94042630136994</v>
      </c>
      <c r="W76" s="32">
        <f t="shared" si="25"/>
        <v>517.07923482739739</v>
      </c>
      <c r="X76" s="32">
        <f t="shared" si="26"/>
        <v>527.21804335342472</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5534</v>
      </c>
      <c r="S77" s="197">
        <f>S76-16</f>
        <v>24</v>
      </c>
      <c r="T77" s="189" t="s">
        <v>5535</v>
      </c>
      <c r="U77" s="213">
        <v>9000</v>
      </c>
      <c r="V77" s="213">
        <f t="shared" si="21"/>
        <v>9302.4986301369863</v>
      </c>
      <c r="W77" s="32">
        <f t="shared" si="25"/>
        <v>9488.5486027397255</v>
      </c>
      <c r="X77" s="32">
        <f t="shared" si="26"/>
        <v>9674.5985753424666</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5545</v>
      </c>
      <c r="S78" s="197">
        <f>S77-6</f>
        <v>18</v>
      </c>
      <c r="T78" s="189" t="s">
        <v>5642</v>
      </c>
      <c r="U78" s="213">
        <v>10699.9</v>
      </c>
      <c r="V78" s="213">
        <f t="shared" si="21"/>
        <v>11010.285044383561</v>
      </c>
      <c r="W78" s="32">
        <f t="shared" si="25"/>
        <v>11230.490745271232</v>
      </c>
      <c r="X78" s="32">
        <f t="shared" si="26"/>
        <v>11450.696446158905</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5563</v>
      </c>
      <c r="S79" s="197">
        <f>S78-8</f>
        <v>10</v>
      </c>
      <c r="T79" s="189" t="s">
        <v>5565</v>
      </c>
      <c r="U79" s="213">
        <v>1022.2</v>
      </c>
      <c r="V79" s="213">
        <f t="shared" si="21"/>
        <v>1045.5789742465754</v>
      </c>
      <c r="W79" s="32">
        <f t="shared" si="25"/>
        <v>1066.4905537315069</v>
      </c>
      <c r="X79" s="32">
        <f t="shared" si="26"/>
        <v>1087.4021332164384</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5619</v>
      </c>
      <c r="S80" s="197">
        <f>S79-21</f>
        <v>-11</v>
      </c>
      <c r="T80" s="189" t="s">
        <v>5646</v>
      </c>
      <c r="U80" s="213">
        <v>6511.9</v>
      </c>
      <c r="V80" s="213">
        <f t="shared" si="21"/>
        <v>6555.9311484931513</v>
      </c>
      <c r="W80" s="32">
        <f t="shared" si="25"/>
        <v>6687.0497714630146</v>
      </c>
      <c r="X80" s="32">
        <f t="shared" si="26"/>
        <v>6818.1683944328779</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186034899.59999999</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602</v>
      </c>
      <c r="T91" s="5" t="s">
        <v>4334</v>
      </c>
      <c r="U91" s="168">
        <v>192</v>
      </c>
      <c r="V91" s="99">
        <f t="shared" ref="V91:V122" si="28">U91*(1+$R$87+$Q$15*S91/36500)</f>
        <v>283.58557808219177</v>
      </c>
      <c r="W91" s="32">
        <f t="shared" ref="W91:W106" si="29">V91*(1+$W$19/100)</f>
        <v>289.25728964383563</v>
      </c>
      <c r="X91" s="32">
        <f t="shared" ref="X91:X106" si="30">V91*(1+$X$19/100)</f>
        <v>294.92900120547944</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571</v>
      </c>
      <c r="T92" s="5" t="s">
        <v>4301</v>
      </c>
      <c r="U92" s="168">
        <v>214.57</v>
      </c>
      <c r="V92" s="99">
        <f t="shared" si="28"/>
        <v>311.81900263013699</v>
      </c>
      <c r="W92" s="32">
        <f t="shared" si="29"/>
        <v>318.05538268273972</v>
      </c>
      <c r="X92" s="32">
        <f t="shared" si="30"/>
        <v>324.2917627353425</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560</v>
      </c>
      <c r="T93" s="5" t="s">
        <v>4333</v>
      </c>
      <c r="U93" s="168">
        <v>206.8</v>
      </c>
      <c r="V93" s="99">
        <f t="shared" si="28"/>
        <v>298.78237369863018</v>
      </c>
      <c r="W93" s="32">
        <f t="shared" si="29"/>
        <v>304.75802117260281</v>
      </c>
      <c r="X93" s="32">
        <f t="shared" si="30"/>
        <v>310.73366864657538</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553</v>
      </c>
      <c r="T94" s="5" t="s">
        <v>4369</v>
      </c>
      <c r="U94" s="168">
        <v>203.9</v>
      </c>
      <c r="V94" s="99">
        <f t="shared" si="28"/>
        <v>293.49757041095893</v>
      </c>
      <c r="W94" s="32">
        <f t="shared" si="29"/>
        <v>299.36752181917814</v>
      </c>
      <c r="X94" s="32">
        <f t="shared" si="30"/>
        <v>305.23747322739729</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553</v>
      </c>
      <c r="T95" s="5" t="s">
        <v>4371</v>
      </c>
      <c r="U95" s="168">
        <v>203.1</v>
      </c>
      <c r="V95" s="99">
        <f t="shared" si="28"/>
        <v>292.34603506849317</v>
      </c>
      <c r="W95" s="32">
        <f t="shared" si="29"/>
        <v>298.19295576986303</v>
      </c>
      <c r="X95" s="32">
        <f t="shared" si="30"/>
        <v>304.0398764712329</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5254</v>
      </c>
      <c r="P96" t="s">
        <v>25</v>
      </c>
      <c r="Q96" s="35">
        <v>2010885</v>
      </c>
      <c r="R96" s="5" t="s">
        <v>4380</v>
      </c>
      <c r="S96" s="5">
        <f>S95-3</f>
        <v>550</v>
      </c>
      <c r="T96" s="5" t="s">
        <v>4385</v>
      </c>
      <c r="U96" s="168">
        <v>202.1</v>
      </c>
      <c r="V96" s="99">
        <f t="shared" si="28"/>
        <v>290.44150904109591</v>
      </c>
      <c r="W96" s="32">
        <f t="shared" si="29"/>
        <v>296.25033922191784</v>
      </c>
      <c r="X96" s="32">
        <f t="shared" si="30"/>
        <v>302.05916940273977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5260</v>
      </c>
      <c r="P97" s="115"/>
      <c r="Q97" s="35">
        <v>1971103</v>
      </c>
      <c r="R97" s="5" t="s">
        <v>4401</v>
      </c>
      <c r="S97" s="5">
        <f>S96-4</f>
        <v>546</v>
      </c>
      <c r="T97" s="5" t="s">
        <v>4402</v>
      </c>
      <c r="U97" s="168">
        <v>196.2</v>
      </c>
      <c r="V97" s="99">
        <f t="shared" si="28"/>
        <v>281.36047561643835</v>
      </c>
      <c r="W97" s="32">
        <f t="shared" si="29"/>
        <v>286.98768512876711</v>
      </c>
      <c r="X97" s="32">
        <f t="shared" si="30"/>
        <v>292.61489464109587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540</v>
      </c>
      <c r="T98" s="5" t="s">
        <v>4454</v>
      </c>
      <c r="U98" s="168">
        <v>184.5</v>
      </c>
      <c r="V98" s="99">
        <f t="shared" si="28"/>
        <v>263.73289315068496</v>
      </c>
      <c r="W98" s="32">
        <f t="shared" si="29"/>
        <v>269.00755101369867</v>
      </c>
      <c r="X98" s="32">
        <f t="shared" si="30"/>
        <v>274.28220887671239</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538</v>
      </c>
      <c r="T99" s="5" t="s">
        <v>4424</v>
      </c>
      <c r="U99" s="168">
        <v>177.5</v>
      </c>
      <c r="V99" s="99">
        <f t="shared" si="28"/>
        <v>253.45443835616439</v>
      </c>
      <c r="W99" s="32">
        <f t="shared" si="29"/>
        <v>258.52352712328769</v>
      </c>
      <c r="X99" s="32">
        <f t="shared" si="30"/>
        <v>263.59261589041097</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533</v>
      </c>
      <c r="T100" s="218" t="s">
        <v>4566</v>
      </c>
      <c r="U100" s="168">
        <v>190.3</v>
      </c>
      <c r="V100" s="99">
        <f t="shared" si="28"/>
        <v>271.00179835616444</v>
      </c>
      <c r="W100" s="32">
        <f t="shared" si="29"/>
        <v>276.42183432328773</v>
      </c>
      <c r="X100" s="32">
        <f t="shared" si="30"/>
        <v>281.84187029041101</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491</v>
      </c>
      <c r="T101" s="5" t="s">
        <v>4577</v>
      </c>
      <c r="U101" s="168">
        <v>174.9</v>
      </c>
      <c r="V101" s="99">
        <f t="shared" si="28"/>
        <v>243.43588273972603</v>
      </c>
      <c r="W101" s="32">
        <f t="shared" si="29"/>
        <v>248.30460039452055</v>
      </c>
      <c r="X101" s="32">
        <f t="shared" si="30"/>
        <v>253.17331804931507</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490</v>
      </c>
      <c r="T102" s="5" t="s">
        <v>4582</v>
      </c>
      <c r="U102" s="168">
        <v>173</v>
      </c>
      <c r="V102" s="99">
        <f t="shared" si="28"/>
        <v>240.65864109589043</v>
      </c>
      <c r="W102" s="32">
        <f t="shared" si="29"/>
        <v>245.47181391780825</v>
      </c>
      <c r="X102" s="32">
        <f t="shared" si="30"/>
        <v>250.28498673972607</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489</v>
      </c>
      <c r="T103" s="5" t="s">
        <v>4584</v>
      </c>
      <c r="U103" s="168">
        <v>171.2</v>
      </c>
      <c r="V103" s="99">
        <f t="shared" si="28"/>
        <v>238.02334684931509</v>
      </c>
      <c r="W103" s="32">
        <f t="shared" si="29"/>
        <v>242.78381378630141</v>
      </c>
      <c r="X103" s="32">
        <f t="shared" si="30"/>
        <v>247.5442807232877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489</v>
      </c>
      <c r="T104" s="5" t="s">
        <v>4588</v>
      </c>
      <c r="U104" s="168">
        <v>175</v>
      </c>
      <c r="V104" s="99">
        <f t="shared" si="28"/>
        <v>243.30657534246578</v>
      </c>
      <c r="W104" s="32">
        <f t="shared" si="29"/>
        <v>248.17270684931509</v>
      </c>
      <c r="X104" s="32">
        <f t="shared" si="30"/>
        <v>253.0388383561644</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487</v>
      </c>
      <c r="T105" s="5" t="s">
        <v>4591</v>
      </c>
      <c r="U105" s="168">
        <v>172.1</v>
      </c>
      <c r="V105" s="99">
        <f t="shared" si="28"/>
        <v>239.01059397260275</v>
      </c>
      <c r="W105" s="32">
        <f t="shared" si="29"/>
        <v>243.7908058520548</v>
      </c>
      <c r="X105" s="32">
        <f t="shared" si="30"/>
        <v>248.57101773150686</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484</v>
      </c>
      <c r="T106" s="5" t="s">
        <v>4759</v>
      </c>
      <c r="U106" s="168">
        <v>171.8</v>
      </c>
      <c r="V106" s="99">
        <f t="shared" si="28"/>
        <v>238.19858191780827</v>
      </c>
      <c r="W106" s="32">
        <f t="shared" si="29"/>
        <v>242.96255355616444</v>
      </c>
      <c r="X106" s="32">
        <f t="shared" si="30"/>
        <v>247.7265251945206</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6134.1907098739312</v>
      </c>
      <c r="G107" s="199">
        <f>P52</f>
        <v>1181.9000000000001</v>
      </c>
      <c r="H107" s="199" t="s">
        <v>4749</v>
      </c>
      <c r="I107" s="199" t="s">
        <v>5393</v>
      </c>
      <c r="J107" s="214" t="s">
        <v>4233</v>
      </c>
      <c r="K107" s="199">
        <v>210</v>
      </c>
      <c r="L107" s="215">
        <f t="shared" ref="L107:L112" si="32">K107*$L$115</f>
        <v>1522500000</v>
      </c>
      <c r="M107" s="215">
        <f>N21+N31+N52+N44</f>
        <v>4551983800.6000004</v>
      </c>
      <c r="N107" s="183">
        <f t="shared" ref="N107:N112" si="33">L107-M107</f>
        <v>-3029483800.6000004</v>
      </c>
      <c r="P107" s="96"/>
      <c r="Q107" s="169">
        <v>6150141</v>
      </c>
      <c r="R107" s="213" t="s">
        <v>4834</v>
      </c>
      <c r="S107" s="213">
        <f>S106-79</f>
        <v>405</v>
      </c>
      <c r="T107" s="213" t="s">
        <v>4840</v>
      </c>
      <c r="U107" s="213">
        <v>180.6</v>
      </c>
      <c r="V107" s="99">
        <f t="shared" si="28"/>
        <v>239.454818630137</v>
      </c>
      <c r="W107" s="32">
        <f>V107*(1+$W$19/100)</f>
        <v>244.24391500273975</v>
      </c>
      <c r="X107" s="32">
        <f>V107*(1+$X$19/100)</f>
        <v>249.03301137534248</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13273</v>
      </c>
      <c r="H108" s="213" t="s">
        <v>4916</v>
      </c>
      <c r="I108" s="213" t="s">
        <v>5394</v>
      </c>
      <c r="J108" s="32" t="s">
        <v>4382</v>
      </c>
      <c r="K108" s="213">
        <v>33</v>
      </c>
      <c r="L108" s="1">
        <f t="shared" si="32"/>
        <v>239250000</v>
      </c>
      <c r="M108" s="1">
        <f>N48+N28+N23</f>
        <v>2179838063</v>
      </c>
      <c r="N108" s="113">
        <f t="shared" si="33"/>
        <v>-1940588063</v>
      </c>
      <c r="P108" s="96"/>
      <c r="Q108" s="169">
        <v>1399908</v>
      </c>
      <c r="R108" s="213" t="s">
        <v>4902</v>
      </c>
      <c r="S108" s="213">
        <f>S107-20</f>
        <v>385</v>
      </c>
      <c r="T108" s="213" t="s">
        <v>4903</v>
      </c>
      <c r="U108" s="213">
        <v>194</v>
      </c>
      <c r="V108" s="99">
        <f t="shared" si="28"/>
        <v>254.24523835616441</v>
      </c>
      <c r="W108" s="32">
        <f>V108*(1+$W$19/100)</f>
        <v>259.33014312328771</v>
      </c>
      <c r="X108" s="32">
        <f>V108*(1+$X$19/100)</f>
        <v>264.41504789041102</v>
      </c>
      <c r="Y108" s="96"/>
      <c r="AH108" s="99">
        <v>88</v>
      </c>
      <c r="AI108" s="113" t="s">
        <v>991</v>
      </c>
      <c r="AJ108" s="113">
        <v>-5000000</v>
      </c>
      <c r="AK108" s="99">
        <v>2</v>
      </c>
      <c r="AL108" s="99">
        <f t="shared" si="31"/>
        <v>412</v>
      </c>
      <c r="AM108" s="117">
        <f t="shared" si="10"/>
        <v>-2060000000</v>
      </c>
      <c r="AN108" s="99"/>
    </row>
    <row r="109" spans="4:47">
      <c r="F109" s="199">
        <v>0</v>
      </c>
      <c r="G109" s="199">
        <f>P47</f>
        <v>14170.4</v>
      </c>
      <c r="H109" s="199" t="s">
        <v>5040</v>
      </c>
      <c r="I109" s="199" t="s">
        <v>5395</v>
      </c>
      <c r="J109" s="214" t="s">
        <v>4378</v>
      </c>
      <c r="K109" s="199">
        <v>0</v>
      </c>
      <c r="L109" s="215">
        <f t="shared" si="32"/>
        <v>0</v>
      </c>
      <c r="M109" s="215">
        <f>N47+N25</f>
        <v>23211115.199999999</v>
      </c>
      <c r="N109" s="183">
        <f t="shared" si="33"/>
        <v>-23211115.199999999</v>
      </c>
      <c r="P109" s="96"/>
      <c r="Q109" s="169">
        <v>1204033</v>
      </c>
      <c r="R109" s="213" t="s">
        <v>4912</v>
      </c>
      <c r="S109" s="213">
        <f>S108-7</f>
        <v>378</v>
      </c>
      <c r="T109" s="213" t="s">
        <v>4915</v>
      </c>
      <c r="U109" s="213">
        <v>218.5</v>
      </c>
      <c r="V109" s="99">
        <f t="shared" si="28"/>
        <v>285.18021369863015</v>
      </c>
      <c r="W109" s="32">
        <f>V109*(1+$W$19/100)</f>
        <v>290.88381797260274</v>
      </c>
      <c r="X109" s="32">
        <f>V109*(1+$X$19/100)</f>
        <v>296.58742224657539</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5396</v>
      </c>
      <c r="K110" s="189">
        <v>0</v>
      </c>
      <c r="L110" s="282">
        <f t="shared" si="32"/>
        <v>0</v>
      </c>
      <c r="M110" s="282">
        <f>N20+N27+N42</f>
        <v>28847</v>
      </c>
      <c r="N110" s="188">
        <f t="shared" si="33"/>
        <v>-28847</v>
      </c>
      <c r="P110" s="96"/>
      <c r="Q110" s="169">
        <v>8382674</v>
      </c>
      <c r="R110" s="213" t="s">
        <v>4922</v>
      </c>
      <c r="S110" s="213">
        <f>S109-7</f>
        <v>371</v>
      </c>
      <c r="T110" s="213" t="s">
        <v>4928</v>
      </c>
      <c r="U110" s="213">
        <v>192</v>
      </c>
      <c r="V110" s="99">
        <f t="shared" si="28"/>
        <v>249.56212602739726</v>
      </c>
      <c r="W110" s="32">
        <f>V110*(1+$W$19/100)</f>
        <v>254.55336854794521</v>
      </c>
      <c r="X110" s="32">
        <f>V110*(1+$X$19/100)</f>
        <v>259.54461106849317</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7250000</v>
      </c>
      <c r="M111" s="215">
        <v>0</v>
      </c>
      <c r="N111" s="183">
        <f t="shared" si="33"/>
        <v>7250000</v>
      </c>
      <c r="Q111" s="169">
        <v>104750654</v>
      </c>
      <c r="R111" s="213" t="s">
        <v>4941</v>
      </c>
      <c r="S111" s="213">
        <f>S110-9</f>
        <v>362</v>
      </c>
      <c r="T111" s="213" t="s">
        <v>5552</v>
      </c>
      <c r="U111" s="213">
        <v>193.6</v>
      </c>
      <c r="V111" s="99">
        <f t="shared" si="28"/>
        <v>250.30517479452058</v>
      </c>
      <c r="W111" s="32">
        <f>V111*(1+$W$19/100)</f>
        <v>255.311278290411</v>
      </c>
      <c r="X111" s="32">
        <f>V111*(1+$X$19/100)</f>
        <v>260.31738178630144</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5529</v>
      </c>
      <c r="K112" s="191">
        <v>675</v>
      </c>
      <c r="L112" s="254">
        <f t="shared" si="32"/>
        <v>4893750000</v>
      </c>
      <c r="M112" s="254">
        <v>0</v>
      </c>
      <c r="N112" s="86">
        <f t="shared" si="33"/>
        <v>4893750000</v>
      </c>
      <c r="Q112" s="169">
        <v>7032.8</v>
      </c>
      <c r="R112" s="213" t="s">
        <v>5319</v>
      </c>
      <c r="S112" s="213">
        <f>S111-240</f>
        <v>122</v>
      </c>
      <c r="T112" s="213" t="s">
        <v>5327</v>
      </c>
      <c r="U112" s="213">
        <v>7001.1</v>
      </c>
      <c r="V112" s="99">
        <f t="shared" si="28"/>
        <v>7762.7429556164398</v>
      </c>
      <c r="W112" s="32">
        <f t="shared" ref="W112:W119" si="34">V112*(1+$W$19/100)</f>
        <v>7917.9978147287684</v>
      </c>
      <c r="X112" s="32">
        <f t="shared" ref="X112:X119" si="35">V112*(1+$X$19/100)</f>
        <v>8073.2526738410979</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5332</v>
      </c>
      <c r="S113" s="213">
        <f>S112-6</f>
        <v>116</v>
      </c>
      <c r="T113" s="213" t="s">
        <v>5333</v>
      </c>
      <c r="U113" s="213">
        <v>7310</v>
      </c>
      <c r="V113" s="99">
        <f t="shared" si="28"/>
        <v>8071.6018630136996</v>
      </c>
      <c r="W113" s="32">
        <f t="shared" si="34"/>
        <v>8233.0339002739729</v>
      </c>
      <c r="X113" s="32">
        <f t="shared" si="35"/>
        <v>8394.4659375342471</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919</v>
      </c>
      <c r="L114" s="215"/>
      <c r="M114" s="215"/>
      <c r="N114" s="183"/>
      <c r="Q114" s="169">
        <v>632415</v>
      </c>
      <c r="R114" s="213" t="s">
        <v>5340</v>
      </c>
      <c r="S114" s="213">
        <f>S113-5</f>
        <v>111</v>
      </c>
      <c r="T114" s="213" t="s">
        <v>5342</v>
      </c>
      <c r="U114" s="213">
        <v>7236.3</v>
      </c>
      <c r="V114" s="99">
        <f t="shared" si="28"/>
        <v>7962.4676613698648</v>
      </c>
      <c r="W114" s="32">
        <f t="shared" si="34"/>
        <v>8121.7170145972623</v>
      </c>
      <c r="X114" s="32">
        <f t="shared" si="35"/>
        <v>8280.9663678246598</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7250000</v>
      </c>
      <c r="M115" s="1">
        <f>K115*L115</f>
        <v>0</v>
      </c>
      <c r="N115" s="113">
        <f>SUM(N107:N113)-M115</f>
        <v>-2311825.8000001907</v>
      </c>
      <c r="P115" s="114"/>
      <c r="Q115" s="169">
        <v>6417109</v>
      </c>
      <c r="R115" s="213" t="s">
        <v>5343</v>
      </c>
      <c r="S115" s="213">
        <f>S114-1</f>
        <v>110</v>
      </c>
      <c r="T115" s="213" t="s">
        <v>5344</v>
      </c>
      <c r="U115" s="213">
        <v>7097.9</v>
      </c>
      <c r="V115" s="99">
        <f t="shared" si="28"/>
        <v>7804.7341621917803</v>
      </c>
      <c r="W115" s="32">
        <f t="shared" si="34"/>
        <v>7960.8288454356161</v>
      </c>
      <c r="X115" s="32">
        <f t="shared" si="35"/>
        <v>8116.9235286794519</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5347</v>
      </c>
      <c r="S116" s="213">
        <f>S115-1</f>
        <v>109</v>
      </c>
      <c r="T116" s="213" t="s">
        <v>5349</v>
      </c>
      <c r="U116" s="213">
        <v>7100.1</v>
      </c>
      <c r="V116" s="99">
        <f t="shared" si="28"/>
        <v>7801.7065939726035</v>
      </c>
      <c r="W116" s="32">
        <f t="shared" si="34"/>
        <v>7957.7407258520561</v>
      </c>
      <c r="X116" s="32">
        <f t="shared" si="35"/>
        <v>8113.7748577315078</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5350</v>
      </c>
      <c r="S117" s="213">
        <f>S116-4</f>
        <v>105</v>
      </c>
      <c r="T117" s="213" t="s">
        <v>5351</v>
      </c>
      <c r="U117" s="213">
        <v>6980.8</v>
      </c>
      <c r="V117" s="99">
        <f t="shared" si="28"/>
        <v>7649.1972558904108</v>
      </c>
      <c r="W117" s="32">
        <f t="shared" si="34"/>
        <v>7802.1812010082194</v>
      </c>
      <c r="X117" s="32">
        <f t="shared" si="35"/>
        <v>7955.1651461260271</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103</v>
      </c>
      <c r="T118" s="213" t="s">
        <v>5359</v>
      </c>
      <c r="U118" s="213">
        <v>7092.5</v>
      </c>
      <c r="V118" s="99">
        <f t="shared" si="28"/>
        <v>7760.7106575342477</v>
      </c>
      <c r="W118" s="32">
        <f t="shared" si="34"/>
        <v>7915.924870684933</v>
      </c>
      <c r="X118" s="32">
        <f t="shared" si="35"/>
        <v>8071.1390838356183</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5360</v>
      </c>
      <c r="S119" s="213">
        <f>S118-1</f>
        <v>102</v>
      </c>
      <c r="T119" s="213" t="s">
        <v>5375</v>
      </c>
      <c r="U119" s="213">
        <v>6923.5</v>
      </c>
      <c r="V119" s="99">
        <f t="shared" si="28"/>
        <v>7570.4773643835624</v>
      </c>
      <c r="W119" s="32">
        <f t="shared" si="34"/>
        <v>7721.886911671234</v>
      </c>
      <c r="X119" s="32">
        <f t="shared" si="35"/>
        <v>7873.2964589589055</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5373</v>
      </c>
      <c r="S120" s="213">
        <f>S119-11</f>
        <v>91</v>
      </c>
      <c r="T120" s="213" t="s">
        <v>5382</v>
      </c>
      <c r="U120" s="213">
        <v>7301.1</v>
      </c>
      <c r="V120" s="99">
        <f t="shared" si="28"/>
        <v>7921.7535090410975</v>
      </c>
      <c r="W120" s="32">
        <f t="shared" ref="W120:W125" si="36">V120*(1+$W$19/100)</f>
        <v>8080.1885792219191</v>
      </c>
      <c r="X120" s="32">
        <f t="shared" ref="X120:X125" si="37">V120*(1+$X$19/100)</f>
        <v>8238.6236494027416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5383</v>
      </c>
      <c r="S121" s="213">
        <f>S120-1</f>
        <v>90</v>
      </c>
      <c r="T121" s="213" t="s">
        <v>5388</v>
      </c>
      <c r="U121" s="213">
        <v>7372.4</v>
      </c>
      <c r="V121" s="99">
        <f t="shared" si="28"/>
        <v>7993.4590553424669</v>
      </c>
      <c r="W121" s="32">
        <f t="shared" si="36"/>
        <v>8153.3282364493161</v>
      </c>
      <c r="X121" s="32">
        <f t="shared" si="37"/>
        <v>8313.1974175561663</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5568</v>
      </c>
      <c r="I122" s="213" t="s">
        <v>5493</v>
      </c>
      <c r="J122" s="1">
        <v>79922415</v>
      </c>
      <c r="K122" s="5" t="s">
        <v>4513</v>
      </c>
      <c r="L122" s="169">
        <v>1100000</v>
      </c>
      <c r="M122" s="169">
        <v>4748000</v>
      </c>
      <c r="N122" s="168">
        <f t="shared" si="38"/>
        <v>331.63636363636363</v>
      </c>
      <c r="Q122" s="169">
        <v>25972060</v>
      </c>
      <c r="R122" s="213" t="s">
        <v>5397</v>
      </c>
      <c r="S122" s="213">
        <f>S121-3</f>
        <v>87</v>
      </c>
      <c r="T122" s="213" t="s">
        <v>5496</v>
      </c>
      <c r="U122" s="213">
        <v>7557.6</v>
      </c>
      <c r="V122" s="99">
        <f t="shared" si="28"/>
        <v>8176.8676734246583</v>
      </c>
      <c r="W122" s="32">
        <f t="shared" si="36"/>
        <v>8340.4050268931514</v>
      </c>
      <c r="X122" s="32">
        <f t="shared" si="37"/>
        <v>8503.9423803616446</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5497</v>
      </c>
      <c r="S123" s="213">
        <f>S122-40</f>
        <v>47</v>
      </c>
      <c r="T123" s="213" t="s">
        <v>5499</v>
      </c>
      <c r="U123" s="213">
        <v>7159.6</v>
      </c>
      <c r="V123" s="99">
        <f t="shared" ref="V123:V139" si="41">U123*(1+$R$87+$Q$15*S123/36500)</f>
        <v>7526.5638268493167</v>
      </c>
      <c r="W123" s="32">
        <f t="shared" si="36"/>
        <v>7677.095103386303</v>
      </c>
      <c r="X123" s="32">
        <f t="shared" si="37"/>
        <v>7827.6263799232893</v>
      </c>
      <c r="Y123" t="s">
        <v>25</v>
      </c>
      <c r="AH123" s="89">
        <v>103</v>
      </c>
      <c r="AI123" s="90" t="s">
        <v>4598</v>
      </c>
      <c r="AJ123" s="90">
        <v>16727037</v>
      </c>
      <c r="AK123" s="89">
        <v>0</v>
      </c>
      <c r="AL123" s="89">
        <f t="shared" si="39"/>
        <v>392</v>
      </c>
      <c r="AM123" s="90">
        <f t="shared" si="40"/>
        <v>6556998504</v>
      </c>
      <c r="AN123" s="89" t="s">
        <v>4605</v>
      </c>
    </row>
    <row r="124" spans="6:46">
      <c r="F124" s="96"/>
      <c r="G124" s="1">
        <f>P52</f>
        <v>1181.9000000000001</v>
      </c>
      <c r="H124" s="213" t="s">
        <v>4233</v>
      </c>
      <c r="I124" s="213">
        <v>241029</v>
      </c>
      <c r="J124" s="1">
        <f>I124*G124</f>
        <v>284872175.10000002</v>
      </c>
      <c r="K124" s="19" t="s">
        <v>4378</v>
      </c>
      <c r="L124" s="169">
        <v>1100000</v>
      </c>
      <c r="M124" s="169">
        <v>4300000</v>
      </c>
      <c r="N124" s="168">
        <f t="shared" si="38"/>
        <v>290.90909090909093</v>
      </c>
      <c r="Q124" s="169">
        <v>7374741</v>
      </c>
      <c r="R124" s="213" t="s">
        <v>5505</v>
      </c>
      <c r="S124" s="213">
        <f>S123-8</f>
        <v>39</v>
      </c>
      <c r="T124" s="213" t="s">
        <v>5506</v>
      </c>
      <c r="U124" s="213">
        <v>7601</v>
      </c>
      <c r="V124" s="99">
        <f t="shared" si="41"/>
        <v>7943.9404602739723</v>
      </c>
      <c r="W124" s="32">
        <f t="shared" si="36"/>
        <v>8102.8192694794516</v>
      </c>
      <c r="X124" s="32">
        <f t="shared" si="37"/>
        <v>8261.6980786849308</v>
      </c>
      <c r="Y124" s="122" t="s">
        <v>25</v>
      </c>
      <c r="AH124" s="99">
        <v>104</v>
      </c>
      <c r="AI124" s="113" t="s">
        <v>4598</v>
      </c>
      <c r="AJ124" s="113">
        <v>12000000</v>
      </c>
      <c r="AK124" s="99">
        <v>1</v>
      </c>
      <c r="AL124" s="99">
        <f t="shared" si="39"/>
        <v>392</v>
      </c>
      <c r="AM124" s="117">
        <f t="shared" si="40"/>
        <v>4704000000</v>
      </c>
      <c r="AN124" s="99" t="s">
        <v>4606</v>
      </c>
    </row>
    <row r="125" spans="6:46">
      <c r="F125" s="96"/>
      <c r="G125" s="1">
        <f>P48</f>
        <v>13273</v>
      </c>
      <c r="H125" s="213" t="s">
        <v>4382</v>
      </c>
      <c r="I125" s="213">
        <v>2535</v>
      </c>
      <c r="J125" s="1">
        <f>I125*G125</f>
        <v>33647055</v>
      </c>
      <c r="K125" s="5" t="s">
        <v>4396</v>
      </c>
      <c r="L125" s="169">
        <v>1100000</v>
      </c>
      <c r="M125" s="169">
        <v>3191000</v>
      </c>
      <c r="N125" s="168">
        <f t="shared" si="38"/>
        <v>190.09090909090909</v>
      </c>
      <c r="Q125" s="169">
        <v>2612032</v>
      </c>
      <c r="R125" s="213" t="s">
        <v>5510</v>
      </c>
      <c r="S125" s="213">
        <f>S124-4</f>
        <v>35</v>
      </c>
      <c r="T125" s="213" t="s">
        <v>5511</v>
      </c>
      <c r="U125" s="213">
        <v>8000.7</v>
      </c>
      <c r="V125" s="99">
        <f t="shared" si="41"/>
        <v>8337.123955068495</v>
      </c>
      <c r="W125" s="32">
        <f t="shared" si="36"/>
        <v>8503.8664341698659</v>
      </c>
      <c r="X125" s="32">
        <f t="shared" si="37"/>
        <v>8670.608913271235</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5514</v>
      </c>
      <c r="S126" s="213">
        <f>S125-2</f>
        <v>33</v>
      </c>
      <c r="T126" s="213" t="s">
        <v>5516</v>
      </c>
      <c r="U126" s="213">
        <v>8485.7999999999993</v>
      </c>
      <c r="V126" s="99">
        <f t="shared" si="41"/>
        <v>8829.602768219178</v>
      </c>
      <c r="W126" s="32">
        <f t="shared" ref="W126:W131" si="42">V126*(1+$W$19/100)</f>
        <v>9006.1948235835625</v>
      </c>
      <c r="X126" s="32">
        <f t="shared" ref="X126:X131" si="43">V126*(1+$X$19/100)</f>
        <v>9182.7868789479453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238596815.10000002</v>
      </c>
      <c r="J127" s="1">
        <f>SUM(J124:J126)</f>
        <v>318519230.10000002</v>
      </c>
      <c r="K127" s="19" t="s">
        <v>4382</v>
      </c>
      <c r="L127" s="169">
        <v>1100000</v>
      </c>
      <c r="M127" s="169">
        <v>7728000</v>
      </c>
      <c r="N127" s="168">
        <f t="shared" si="38"/>
        <v>602.5454545454545</v>
      </c>
      <c r="Q127" s="169">
        <v>17185077</v>
      </c>
      <c r="R127" s="213" t="s">
        <v>5515</v>
      </c>
      <c r="S127" s="213">
        <f>S126-1</f>
        <v>32</v>
      </c>
      <c r="T127" s="213" t="s">
        <v>5520</v>
      </c>
      <c r="U127" s="213">
        <v>8377.7999999999993</v>
      </c>
      <c r="V127" s="99">
        <f t="shared" si="41"/>
        <v>8710.8003353424665</v>
      </c>
      <c r="W127" s="32">
        <f t="shared" si="42"/>
        <v>8885.0163420493154</v>
      </c>
      <c r="X127" s="32">
        <f t="shared" si="43"/>
        <v>9059.2323487561662</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5518</v>
      </c>
      <c r="S128" s="213">
        <f>S127-1</f>
        <v>31</v>
      </c>
      <c r="T128" s="213" t="s">
        <v>5521</v>
      </c>
      <c r="U128" s="213">
        <v>8337.2999999999993</v>
      </c>
      <c r="V128" s="99">
        <f t="shared" si="41"/>
        <v>8662.2948065753426</v>
      </c>
      <c r="W128" s="32">
        <f t="shared" si="42"/>
        <v>8835.5407027068504</v>
      </c>
      <c r="X128" s="32">
        <f t="shared" si="43"/>
        <v>9008.7865988383564</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5526</v>
      </c>
      <c r="S129" s="213">
        <f>S128-3</f>
        <v>28</v>
      </c>
      <c r="T129" s="213" t="s">
        <v>5588</v>
      </c>
      <c r="U129" s="213">
        <v>8280.2000000000007</v>
      </c>
      <c r="V129" s="99">
        <f t="shared" si="41"/>
        <v>8583.9131989041107</v>
      </c>
      <c r="W129" s="32">
        <f t="shared" si="42"/>
        <v>8755.5914628821938</v>
      </c>
      <c r="X129" s="32">
        <f t="shared" si="43"/>
        <v>8927.2697268602751</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5620</v>
      </c>
      <c r="I130" s="213" t="s">
        <v>5651</v>
      </c>
      <c r="J130" s="1">
        <v>36319143</v>
      </c>
      <c r="K130" s="240" t="s">
        <v>5467</v>
      </c>
      <c r="Q130" s="169">
        <v>51910020</v>
      </c>
      <c r="R130" s="213" t="s">
        <v>5526</v>
      </c>
      <c r="S130" s="213">
        <f>S129</f>
        <v>28</v>
      </c>
      <c r="T130" s="213" t="s">
        <v>5527</v>
      </c>
      <c r="U130" s="213">
        <v>8758.5</v>
      </c>
      <c r="V130" s="99">
        <f t="shared" si="41"/>
        <v>9079.7569808219178</v>
      </c>
      <c r="W130" s="32">
        <f t="shared" si="42"/>
        <v>9261.352120438356</v>
      </c>
      <c r="X130" s="32">
        <f t="shared" si="43"/>
        <v>9442.9472600547942</v>
      </c>
      <c r="Z130" t="s">
        <v>25</v>
      </c>
      <c r="AH130" s="99">
        <v>110</v>
      </c>
      <c r="AI130" s="113" t="s">
        <v>4629</v>
      </c>
      <c r="AJ130" s="113">
        <v>60000</v>
      </c>
      <c r="AK130" s="99">
        <v>1</v>
      </c>
      <c r="AL130" s="99">
        <f t="shared" si="44"/>
        <v>385</v>
      </c>
      <c r="AM130" s="117">
        <f t="shared" si="40"/>
        <v>23100000</v>
      </c>
      <c r="AN130" s="99" t="s">
        <v>4630</v>
      </c>
    </row>
    <row r="131" spans="7:43">
      <c r="G131" s="1">
        <f>P52</f>
        <v>1181.9000000000001</v>
      </c>
      <c r="H131" s="213" t="s">
        <v>4233</v>
      </c>
      <c r="I131" s="213">
        <v>68595</v>
      </c>
      <c r="J131" s="1">
        <f>G131*I131</f>
        <v>81072430.5</v>
      </c>
      <c r="K131" s="240" t="s">
        <v>4546</v>
      </c>
      <c r="Q131" s="169">
        <v>15223196.506844705</v>
      </c>
      <c r="R131" s="213" t="s">
        <v>5530</v>
      </c>
      <c r="S131" s="213">
        <f>S130-1</f>
        <v>27</v>
      </c>
      <c r="T131" s="213" t="s">
        <v>5586</v>
      </c>
      <c r="U131" s="213">
        <v>9036.6</v>
      </c>
      <c r="V131" s="99">
        <f t="shared" si="41"/>
        <v>9361.1253501369883</v>
      </c>
      <c r="W131" s="32">
        <f t="shared" si="42"/>
        <v>9548.3478571397281</v>
      </c>
      <c r="X131" s="32">
        <f t="shared" si="43"/>
        <v>9735.570364142468</v>
      </c>
      <c r="Y131" t="s">
        <v>25</v>
      </c>
      <c r="AH131" s="20">
        <v>111</v>
      </c>
      <c r="AI131" s="117" t="s">
        <v>4638</v>
      </c>
      <c r="AJ131" s="117">
        <v>4750000</v>
      </c>
      <c r="AK131" s="20">
        <v>0</v>
      </c>
      <c r="AL131" s="99">
        <f t="shared" si="44"/>
        <v>384</v>
      </c>
      <c r="AM131" s="117">
        <f t="shared" si="40"/>
        <v>1824000000</v>
      </c>
      <c r="AN131" s="20"/>
      <c r="AQ131" t="s">
        <v>25</v>
      </c>
    </row>
    <row r="132" spans="7:43">
      <c r="G132" s="213">
        <f>P48</f>
        <v>13273</v>
      </c>
      <c r="H132" s="213" t="s">
        <v>4382</v>
      </c>
      <c r="I132" s="213">
        <v>1703</v>
      </c>
      <c r="J132" s="1">
        <f>G132*I132</f>
        <v>22603919</v>
      </c>
      <c r="K132" s="240" t="s">
        <v>4547</v>
      </c>
      <c r="P132" t="s">
        <v>25</v>
      </c>
      <c r="Q132" s="169">
        <v>7224034</v>
      </c>
      <c r="R132" s="213" t="s">
        <v>5551</v>
      </c>
      <c r="S132" s="213">
        <f>S131-16</f>
        <v>11</v>
      </c>
      <c r="T132" s="213" t="s">
        <v>5558</v>
      </c>
      <c r="U132" s="213">
        <v>1044.7</v>
      </c>
      <c r="V132" s="99">
        <f t="shared" si="41"/>
        <v>1069.3949906849316</v>
      </c>
      <c r="W132" s="32">
        <f>V132*(1+$W$19/100)</f>
        <v>1090.7828904986302</v>
      </c>
      <c r="X132" s="32">
        <f>V132*(1+$X$19/100)</f>
        <v>1112.1707903123288</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67357206.5</v>
      </c>
      <c r="J133" s="1">
        <f>SUM(J131:J132)</f>
        <v>103676349.5</v>
      </c>
      <c r="Q133" s="169">
        <v>5032020</v>
      </c>
      <c r="R133" s="213" t="s">
        <v>5563</v>
      </c>
      <c r="S133" s="213">
        <f>S132-1</f>
        <v>10</v>
      </c>
      <c r="T133" s="213" t="s">
        <v>5566</v>
      </c>
      <c r="U133" s="213">
        <v>1022.2</v>
      </c>
      <c r="V133" s="99">
        <f t="shared" si="41"/>
        <v>1045.5789742465754</v>
      </c>
      <c r="W133" s="32">
        <f>V133*(1+$W$19/100)</f>
        <v>1066.4905537315069</v>
      </c>
      <c r="X133" s="32">
        <f>V133*(1+$X$19/100)</f>
        <v>1087.4021332164384</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366871724</v>
      </c>
      <c r="R134" s="213" t="s">
        <v>5569</v>
      </c>
      <c r="S134" s="213">
        <f>S133-4</f>
        <v>6</v>
      </c>
      <c r="T134" s="213" t="s">
        <v>5570</v>
      </c>
      <c r="U134" s="213">
        <v>1055</v>
      </c>
      <c r="V134" s="99">
        <f t="shared" si="41"/>
        <v>1075.8918904109589</v>
      </c>
      <c r="W134" s="32">
        <f>V134*(1+$W$19/100)</f>
        <v>1097.4097282191781</v>
      </c>
      <c r="X134" s="32">
        <f>V134*(1+$X$19/100)</f>
        <v>1118.9275660273972</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63935572.691052377</v>
      </c>
      <c r="R135" s="213" t="s">
        <v>5574</v>
      </c>
      <c r="S135" s="213">
        <f>S134-1</f>
        <v>5</v>
      </c>
      <c r="T135" s="213" t="s">
        <v>5671</v>
      </c>
      <c r="U135" s="213">
        <v>1034.5999999999999</v>
      </c>
      <c r="V135" s="99">
        <f t="shared" si="41"/>
        <v>1054.2942487671232</v>
      </c>
      <c r="W135" s="32">
        <f>V135*(1+$W$19/100)</f>
        <v>1075.3801337424657</v>
      </c>
      <c r="X135" s="32">
        <f>V135*(1+$X$19/100)</f>
        <v>1096.4660187178083</v>
      </c>
      <c r="AH135" s="20">
        <v>115</v>
      </c>
      <c r="AI135" s="117" t="s">
        <v>4640</v>
      </c>
      <c r="AJ135" s="117">
        <v>404000</v>
      </c>
      <c r="AK135" s="20">
        <v>5</v>
      </c>
      <c r="AL135" s="99">
        <f t="shared" si="44"/>
        <v>383</v>
      </c>
      <c r="AM135" s="117">
        <f t="shared" si="40"/>
        <v>154732000</v>
      </c>
      <c r="AN135" s="20" t="s">
        <v>4647</v>
      </c>
    </row>
    <row r="136" spans="7:43">
      <c r="G136" s="213"/>
      <c r="H136" s="213" t="s">
        <v>5236</v>
      </c>
      <c r="I136" s="213" t="s">
        <v>5140</v>
      </c>
      <c r="J136" s="1">
        <v>19795000</v>
      </c>
      <c r="Q136" s="169">
        <v>331871099</v>
      </c>
      <c r="R136" s="213" t="s">
        <v>5587</v>
      </c>
      <c r="S136" s="213">
        <f>S135-9</f>
        <v>-4</v>
      </c>
      <c r="T136" s="213" t="s">
        <v>5591</v>
      </c>
      <c r="U136" s="213">
        <v>11673.9</v>
      </c>
      <c r="V136" s="99">
        <f t="shared" si="41"/>
        <v>11815.521997808219</v>
      </c>
      <c r="W136" s="32">
        <f t="shared" ref="W136:W139" si="45">V136*(1+$W$19/100)</f>
        <v>12051.832437764384</v>
      </c>
      <c r="X136" s="32">
        <f t="shared" ref="X136:X139" si="46">V136*(1+$X$19/100)</f>
        <v>12288.142877720547</v>
      </c>
      <c r="Y136" t="s">
        <v>25</v>
      </c>
      <c r="AH136" s="89">
        <v>116</v>
      </c>
      <c r="AI136" s="90" t="s">
        <v>4657</v>
      </c>
      <c r="AJ136" s="90">
        <v>4291628</v>
      </c>
      <c r="AK136" s="89">
        <v>2</v>
      </c>
      <c r="AL136" s="89">
        <f t="shared" si="44"/>
        <v>378</v>
      </c>
      <c r="AM136" s="90">
        <f t="shared" si="40"/>
        <v>1622235384</v>
      </c>
      <c r="AN136" s="89" t="s">
        <v>4658</v>
      </c>
    </row>
    <row r="137" spans="7:43">
      <c r="G137" s="1">
        <f>P52</f>
        <v>1181.9000000000001</v>
      </c>
      <c r="H137" s="213" t="s">
        <v>4233</v>
      </c>
      <c r="I137" s="213">
        <v>46582</v>
      </c>
      <c r="J137" s="1">
        <f>G137*I137</f>
        <v>55055265.800000004</v>
      </c>
      <c r="K137" t="s">
        <v>25</v>
      </c>
      <c r="Q137" s="169">
        <v>10231441</v>
      </c>
      <c r="R137" s="213" t="s">
        <v>5593</v>
      </c>
      <c r="S137" s="213">
        <f>S136-3</f>
        <v>-7</v>
      </c>
      <c r="T137" s="213" t="s">
        <v>5631</v>
      </c>
      <c r="U137" s="213">
        <v>11022.9</v>
      </c>
      <c r="V137" s="99">
        <f t="shared" si="41"/>
        <v>11131.256616986302</v>
      </c>
      <c r="W137" s="32">
        <f t="shared" si="45"/>
        <v>11353.881749326029</v>
      </c>
      <c r="X137" s="32">
        <f t="shared" si="46"/>
        <v>11576.506881665755</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49345202</v>
      </c>
      <c r="R138" s="213" t="s">
        <v>5619</v>
      </c>
      <c r="S138" s="213">
        <f>S137-4</f>
        <v>-11</v>
      </c>
      <c r="T138" s="213" t="s">
        <v>5636</v>
      </c>
      <c r="U138" s="213">
        <v>11200</v>
      </c>
      <c r="V138" s="99">
        <f t="shared" si="41"/>
        <v>11275.730410958906</v>
      </c>
      <c r="W138" s="32">
        <f t="shared" si="45"/>
        <v>11501.245019178084</v>
      </c>
      <c r="X138" s="32">
        <f t="shared" si="46"/>
        <v>11726.759627397263</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45260265.800000004</v>
      </c>
      <c r="J139" s="1">
        <f>SUM(J137:J138)</f>
        <v>65055265.800000004</v>
      </c>
      <c r="K139" t="s">
        <v>25</v>
      </c>
      <c r="P139" t="s">
        <v>25</v>
      </c>
      <c r="Q139" s="169">
        <v>372863</v>
      </c>
      <c r="R139" s="213" t="s">
        <v>5619</v>
      </c>
      <c r="S139" s="213">
        <f>S138</f>
        <v>-11</v>
      </c>
      <c r="T139" s="213" t="s">
        <v>5646</v>
      </c>
      <c r="U139" s="213">
        <v>6511.9</v>
      </c>
      <c r="V139" s="99">
        <f t="shared" si="41"/>
        <v>6555.9311484931513</v>
      </c>
      <c r="W139" s="32">
        <f t="shared" si="45"/>
        <v>6687.0497714630146</v>
      </c>
      <c r="X139" s="32">
        <f t="shared" si="46"/>
        <v>6818.1683944328779</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37587319</v>
      </c>
      <c r="R140" s="213" t="s">
        <v>5654</v>
      </c>
      <c r="S140" s="213">
        <f>S139-4</f>
        <v>-15</v>
      </c>
      <c r="T140" s="213" t="s">
        <v>5655</v>
      </c>
      <c r="U140" s="213">
        <v>11321.5</v>
      </c>
      <c r="V140" s="99">
        <f t="shared" ref="V140:V150" si="47">U140*(1+$R$87+$Q$15*S140/36500)</f>
        <v>11363.312005479453</v>
      </c>
      <c r="W140" s="32">
        <f t="shared" ref="W140:W150" si="48">V140*(1+$W$19/100)</f>
        <v>11590.578245589042</v>
      </c>
      <c r="X140" s="32">
        <f t="shared" ref="X140:X150" si="49">V140*(1+$X$19/100)</f>
        <v>11817.844485698632</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7744156</v>
      </c>
      <c r="R141" s="213" t="s">
        <v>5654</v>
      </c>
      <c r="S141" s="213">
        <f>S140</f>
        <v>-15</v>
      </c>
      <c r="T141" s="213" t="s">
        <v>5656</v>
      </c>
      <c r="U141" s="213">
        <v>12847.3</v>
      </c>
      <c r="V141" s="99">
        <f t="shared" si="47"/>
        <v>12894.747014794521</v>
      </c>
      <c r="W141" s="32">
        <f t="shared" si="48"/>
        <v>13152.641955090412</v>
      </c>
      <c r="X141" s="32">
        <f t="shared" si="49"/>
        <v>13410.536895386302</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5619</v>
      </c>
      <c r="I142" s="213" t="s">
        <v>5634</v>
      </c>
      <c r="J142" s="1">
        <v>150000000</v>
      </c>
      <c r="K142" t="s">
        <v>25</v>
      </c>
      <c r="Q142" s="169">
        <v>243740625</v>
      </c>
      <c r="R142" s="213" t="s">
        <v>5657</v>
      </c>
      <c r="S142" s="213">
        <f>S141-1</f>
        <v>-16</v>
      </c>
      <c r="T142" s="213" t="s">
        <v>5658</v>
      </c>
      <c r="U142" s="213">
        <v>11332</v>
      </c>
      <c r="V142" s="99">
        <f t="shared" si="47"/>
        <v>11365.157742465755</v>
      </c>
      <c r="W142" s="32">
        <f t="shared" si="48"/>
        <v>11592.46089731507</v>
      </c>
      <c r="X142" s="32">
        <f t="shared" si="49"/>
        <v>11819.764052164386</v>
      </c>
      <c r="Y142" t="s">
        <v>25</v>
      </c>
      <c r="AH142" s="20">
        <v>122</v>
      </c>
      <c r="AI142" s="117" t="s">
        <v>971</v>
      </c>
      <c r="AJ142" s="117">
        <v>30000</v>
      </c>
      <c r="AK142" s="20">
        <v>3</v>
      </c>
      <c r="AL142" s="20">
        <f t="shared" si="44"/>
        <v>344</v>
      </c>
      <c r="AM142" s="117">
        <f t="shared" si="40"/>
        <v>10320000</v>
      </c>
      <c r="AN142" s="20"/>
    </row>
    <row r="143" spans="7:43">
      <c r="G143" s="1">
        <f>P52</f>
        <v>1181.9000000000001</v>
      </c>
      <c r="H143" s="213" t="s">
        <v>4233</v>
      </c>
      <c r="I143" s="213">
        <v>0</v>
      </c>
      <c r="J143" s="1">
        <f>G143*I143</f>
        <v>0</v>
      </c>
      <c r="P143" t="s">
        <v>25</v>
      </c>
      <c r="Q143" s="169">
        <v>241175118</v>
      </c>
      <c r="R143" s="213" t="s">
        <v>5661</v>
      </c>
      <c r="S143" s="213">
        <f>S142-1</f>
        <v>-17</v>
      </c>
      <c r="T143" s="213" t="s">
        <v>5662</v>
      </c>
      <c r="U143" s="213">
        <v>11692.1</v>
      </c>
      <c r="V143" s="99">
        <f t="shared" si="47"/>
        <v>11717.342122739727</v>
      </c>
      <c r="W143" s="32">
        <f t="shared" si="48"/>
        <v>11951.688965194522</v>
      </c>
      <c r="X143" s="32">
        <f t="shared" si="49"/>
        <v>12186.035807649316</v>
      </c>
      <c r="Y143" t="s">
        <v>25</v>
      </c>
      <c r="AH143" s="20">
        <v>123</v>
      </c>
      <c r="AI143" s="117" t="s">
        <v>4783</v>
      </c>
      <c r="AJ143" s="117">
        <v>600000</v>
      </c>
      <c r="AK143" s="20">
        <v>1</v>
      </c>
      <c r="AL143" s="20">
        <f t="shared" si="44"/>
        <v>341</v>
      </c>
      <c r="AM143" s="117">
        <f t="shared" si="40"/>
        <v>204600000</v>
      </c>
      <c r="AN143" s="20"/>
    </row>
    <row r="144" spans="7:43">
      <c r="G144" s="1">
        <f>P48</f>
        <v>13273</v>
      </c>
      <c r="H144" s="213" t="s">
        <v>4382</v>
      </c>
      <c r="I144" s="213">
        <v>19479</v>
      </c>
      <c r="J144" s="1">
        <f>G144*I144</f>
        <v>258544767</v>
      </c>
      <c r="Q144" s="169">
        <v>13068833</v>
      </c>
      <c r="R144" s="213" t="s">
        <v>5661</v>
      </c>
      <c r="S144" s="213">
        <f>S143</f>
        <v>-17</v>
      </c>
      <c r="T144" s="213" t="s">
        <v>5663</v>
      </c>
      <c r="U144" s="213">
        <v>13000.2</v>
      </c>
      <c r="V144" s="99">
        <f t="shared" si="47"/>
        <v>13028.266185205481</v>
      </c>
      <c r="W144" s="32">
        <f t="shared" si="48"/>
        <v>13288.83150890959</v>
      </c>
      <c r="X144" s="32">
        <f t="shared" si="49"/>
        <v>13549.3968326137</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v>34190574</v>
      </c>
      <c r="R145" s="213" t="s">
        <v>5668</v>
      </c>
      <c r="S145" s="213">
        <f>S144-6</f>
        <v>-23</v>
      </c>
      <c r="T145" s="213" t="s">
        <v>5670</v>
      </c>
      <c r="U145" s="213">
        <v>12886</v>
      </c>
      <c r="V145" s="99">
        <f t="shared" si="47"/>
        <v>12854.508734246578</v>
      </c>
      <c r="W145" s="32">
        <f t="shared" si="48"/>
        <v>13111.59890893151</v>
      </c>
      <c r="X145" s="32">
        <f t="shared" si="49"/>
        <v>13368.689083616442</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69"/>
      <c r="R146" s="213"/>
      <c r="S146" s="213"/>
      <c r="T146" s="213"/>
      <c r="U146" s="213"/>
      <c r="V146" s="99"/>
      <c r="W146" s="32"/>
      <c r="X146" s="32"/>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169"/>
      <c r="R147" s="213"/>
      <c r="S147" s="213"/>
      <c r="T147" s="213"/>
      <c r="U147" s="213"/>
      <c r="V147" s="99"/>
      <c r="W147" s="32"/>
      <c r="X147" s="32"/>
      <c r="Z147" s="96"/>
      <c r="AH147" s="20">
        <v>127</v>
      </c>
      <c r="AI147" s="117" t="s">
        <v>4806</v>
      </c>
      <c r="AJ147" s="117">
        <v>70000</v>
      </c>
      <c r="AK147" s="20">
        <v>9</v>
      </c>
      <c r="AL147" s="20">
        <f t="shared" si="44"/>
        <v>335</v>
      </c>
      <c r="AM147" s="117">
        <f>AJ147*AL147</f>
        <v>23450000</v>
      </c>
      <c r="AN147" s="20"/>
    </row>
    <row r="148" spans="5:44">
      <c r="G148" s="213"/>
      <c r="H148" s="113"/>
      <c r="I148" s="282">
        <f>J148-J142</f>
        <v>108544767</v>
      </c>
      <c r="J148" s="1">
        <f>SUM(J143:J145)</f>
        <v>258544767</v>
      </c>
      <c r="K148" s="96"/>
      <c r="Q148" s="169"/>
      <c r="R148" s="213"/>
      <c r="S148" s="213"/>
      <c r="T148" s="213"/>
      <c r="U148" s="213"/>
      <c r="V148" s="99">
        <f t="shared" si="47"/>
        <v>0</v>
      </c>
      <c r="W148" s="32">
        <f t="shared" si="48"/>
        <v>0</v>
      </c>
      <c r="X148" s="32">
        <f t="shared" si="49"/>
        <v>0</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5572</v>
      </c>
      <c r="J149" s="213" t="s">
        <v>6</v>
      </c>
      <c r="K149" s="96"/>
      <c r="L149" s="96"/>
      <c r="Q149" s="169"/>
      <c r="R149" s="213"/>
      <c r="S149" s="213"/>
      <c r="T149" s="213"/>
      <c r="U149" s="213"/>
      <c r="V149" s="99">
        <f t="shared" si="47"/>
        <v>0</v>
      </c>
      <c r="W149" s="32">
        <f t="shared" si="48"/>
        <v>0</v>
      </c>
      <c r="X149" s="32">
        <f t="shared" si="49"/>
        <v>0</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s="169"/>
      <c r="R150" s="168"/>
      <c r="S150" s="168"/>
      <c r="T150" s="168"/>
      <c r="U150" s="168"/>
      <c r="V150" s="99">
        <f t="shared" si="47"/>
        <v>0</v>
      </c>
      <c r="W150" s="32">
        <f t="shared" si="48"/>
        <v>0</v>
      </c>
      <c r="X150" s="32">
        <f t="shared" si="49"/>
        <v>0</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5619</v>
      </c>
      <c r="I151" s="213" t="s">
        <v>5645</v>
      </c>
      <c r="J151" s="1">
        <v>50000000</v>
      </c>
      <c r="K151" s="96"/>
      <c r="L151" s="96"/>
      <c r="M151" s="96"/>
      <c r="N151" s="96"/>
      <c r="O151" s="96"/>
      <c r="Q151" s="113">
        <f>SUM(N44:N54)-SUM(Q91:Q150)</f>
        <v>2320938301.3042941</v>
      </c>
      <c r="R151" s="112"/>
      <c r="S151" s="112"/>
      <c r="T151" s="112"/>
      <c r="U151" s="168"/>
      <c r="V151" s="99" t="s">
        <v>25</v>
      </c>
      <c r="W151" s="32"/>
      <c r="X151" s="32"/>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13273</v>
      </c>
      <c r="H152" s="213" t="s">
        <v>4382</v>
      </c>
      <c r="I152" s="213">
        <v>4386</v>
      </c>
      <c r="J152" s="113">
        <f>G152*I152</f>
        <v>58215378</v>
      </c>
      <c r="K152" s="96"/>
      <c r="L152" s="96"/>
      <c r="M152" s="96"/>
      <c r="N152" s="96"/>
      <c r="O152" s="96"/>
      <c r="Q152" s="26"/>
      <c r="R152" s="181"/>
      <c r="S152" s="181"/>
      <c r="T152" t="s">
        <v>25</v>
      </c>
      <c r="U152" s="96" t="s">
        <v>25</v>
      </c>
      <c r="V152" s="96" t="s">
        <v>25</v>
      </c>
      <c r="W152" s="96"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5639</v>
      </c>
      <c r="I153" s="213">
        <v>654098</v>
      </c>
      <c r="J153" s="113">
        <f>G153*I153</f>
        <v>654098</v>
      </c>
      <c r="K153" s="96" t="s">
        <v>25</v>
      </c>
      <c r="L153" s="96"/>
      <c r="M153" s="96"/>
      <c r="N153" s="96"/>
      <c r="O153" s="96"/>
      <c r="R153" s="32" t="s">
        <v>4549</v>
      </c>
      <c r="S153" s="32" t="s">
        <v>947</v>
      </c>
      <c r="T153" t="s">
        <v>25</v>
      </c>
      <c r="U153" s="96" t="s">
        <v>25</v>
      </c>
      <c r="V153" s="96" t="s">
        <v>25</v>
      </c>
      <c r="W153" s="96" t="s">
        <v>25</v>
      </c>
      <c r="X153" s="122"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R154" s="32">
        <v>86045</v>
      </c>
      <c r="S154" s="169">
        <v>89438080.835662514</v>
      </c>
      <c r="T154" t="s">
        <v>25</v>
      </c>
      <c r="U154" s="96" t="s">
        <v>25</v>
      </c>
      <c r="V154" s="122" t="s">
        <v>25</v>
      </c>
      <c r="W154" s="96" t="s">
        <v>25</v>
      </c>
      <c r="X154" t="s">
        <v>25</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8869476</v>
      </c>
      <c r="J155" s="213"/>
      <c r="K155" s="96"/>
      <c r="L155" s="96"/>
      <c r="M155" s="96"/>
      <c r="N155" s="96"/>
      <c r="O155" s="96"/>
      <c r="P155" s="96"/>
      <c r="Q155" t="s">
        <v>25</v>
      </c>
      <c r="R155" s="32">
        <v>24535</v>
      </c>
      <c r="S155" s="1">
        <f>S154*R155/R154</f>
        <v>25502508.144610144</v>
      </c>
      <c r="T155" s="114" t="s">
        <v>25</v>
      </c>
      <c r="U155" s="96" t="s">
        <v>25</v>
      </c>
      <c r="V155" s="122" t="s">
        <v>25</v>
      </c>
      <c r="W155" s="96" t="s">
        <v>25</v>
      </c>
      <c r="X155"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R156" s="32">
        <f>R154-R155</f>
        <v>61510</v>
      </c>
      <c r="S156" s="1">
        <f>R156*S154/R154</f>
        <v>63935572.691052377</v>
      </c>
      <c r="T156" t="s">
        <v>25</v>
      </c>
      <c r="U156" s="122" t="s">
        <v>25</v>
      </c>
      <c r="V156" s="96"/>
      <c r="W156" s="122" t="s">
        <v>25</v>
      </c>
      <c r="X156" t="s">
        <v>25</v>
      </c>
      <c r="Y156" s="122" t="s">
        <v>25</v>
      </c>
      <c r="Z156" s="96"/>
      <c r="AH156" s="99">
        <v>136</v>
      </c>
      <c r="AI156" s="113" t="s">
        <v>4916</v>
      </c>
      <c r="AJ156" s="113">
        <v>-48527480</v>
      </c>
      <c r="AK156" s="99">
        <v>14</v>
      </c>
      <c r="AL156" s="20">
        <f t="shared" si="44"/>
        <v>285</v>
      </c>
      <c r="AM156" s="117">
        <f t="shared" si="50"/>
        <v>-13830331800</v>
      </c>
      <c r="AN156" s="20" t="s">
        <v>4918</v>
      </c>
    </row>
    <row r="157" spans="5:44">
      <c r="V157" s="96"/>
      <c r="W157"/>
      <c r="X157" t="s">
        <v>25</v>
      </c>
      <c r="Y157" s="96"/>
      <c r="Z157" s="96"/>
      <c r="AH157" s="99">
        <v>137</v>
      </c>
      <c r="AI157" s="113" t="s">
        <v>4943</v>
      </c>
      <c r="AJ157" s="113">
        <v>2100000</v>
      </c>
      <c r="AK157" s="99">
        <v>1</v>
      </c>
      <c r="AL157" s="20">
        <f t="shared" si="44"/>
        <v>271</v>
      </c>
      <c r="AM157" s="117">
        <f t="shared" si="50"/>
        <v>569100000</v>
      </c>
      <c r="AN157" s="20"/>
    </row>
    <row r="158" spans="5:44">
      <c r="G158" s="99"/>
      <c r="H158" s="99"/>
      <c r="I158" s="99" t="s">
        <v>5560</v>
      </c>
      <c r="J158" s="1">
        <v>20000000</v>
      </c>
      <c r="K158" s="278"/>
      <c r="L158" s="290"/>
      <c r="Q158" s="96"/>
      <c r="R158" s="96"/>
      <c r="S158" s="96"/>
      <c r="T158" s="96"/>
      <c r="U158" s="322" t="s">
        <v>4433</v>
      </c>
      <c r="V158" s="322" t="s">
        <v>4446</v>
      </c>
      <c r="W158" s="322" t="s">
        <v>4447</v>
      </c>
      <c r="X158" t="s">
        <v>25</v>
      </c>
      <c r="Y158" s="96"/>
      <c r="Z158" s="96"/>
      <c r="AH158" s="99">
        <v>138</v>
      </c>
      <c r="AI158" s="113" t="s">
        <v>4946</v>
      </c>
      <c r="AJ158" s="113">
        <v>100000</v>
      </c>
      <c r="AK158" s="99">
        <v>4</v>
      </c>
      <c r="AL158" s="20">
        <f>AL159+AK158</f>
        <v>270</v>
      </c>
      <c r="AM158" s="117">
        <f t="shared" si="50"/>
        <v>27000000</v>
      </c>
      <c r="AN158" s="20"/>
    </row>
    <row r="159" spans="5:44">
      <c r="G159" s="99">
        <f>P52</f>
        <v>1181.9000000000001</v>
      </c>
      <c r="H159" s="99" t="s">
        <v>4233</v>
      </c>
      <c r="I159" s="99">
        <v>30054</v>
      </c>
      <c r="J159" s="1">
        <f>G159*I159</f>
        <v>35520822.600000001</v>
      </c>
      <c r="Q159" s="96"/>
      <c r="R159" s="96"/>
      <c r="S159" s="96"/>
      <c r="T159" s="96"/>
      <c r="U159" s="322" t="s">
        <v>749</v>
      </c>
      <c r="V159" s="322">
        <v>1552738</v>
      </c>
      <c r="W159" s="90">
        <f>V159*$T$360</f>
        <v>2874796781.1113377</v>
      </c>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13273</v>
      </c>
      <c r="H160" s="99" t="s">
        <v>4382</v>
      </c>
      <c r="I160" s="99">
        <v>1150</v>
      </c>
      <c r="J160" s="1">
        <f>G160*I160</f>
        <v>15263950</v>
      </c>
      <c r="P160" s="114"/>
      <c r="T160" s="96"/>
      <c r="U160" s="322" t="s">
        <v>4435</v>
      </c>
      <c r="V160" s="322">
        <v>1927508</v>
      </c>
      <c r="W160" s="90">
        <f>V160*$T$360</f>
        <v>3568659873.0541482</v>
      </c>
      <c r="X160" s="96" t="s">
        <v>25</v>
      </c>
      <c r="Y160" s="96"/>
      <c r="AH160" s="99">
        <v>140</v>
      </c>
      <c r="AI160" s="113" t="s">
        <v>4951</v>
      </c>
      <c r="AJ160" s="113">
        <v>1100000</v>
      </c>
      <c r="AK160" s="99">
        <v>0</v>
      </c>
      <c r="AL160" s="20">
        <f t="shared" si="51"/>
        <v>266</v>
      </c>
      <c r="AM160" s="117">
        <f t="shared" si="52"/>
        <v>292600000</v>
      </c>
      <c r="AN160" s="20" t="s">
        <v>4967</v>
      </c>
      <c r="AQ160" t="s">
        <v>25</v>
      </c>
    </row>
    <row r="161" spans="7:43">
      <c r="G161" s="99">
        <f>P45</f>
        <v>86500</v>
      </c>
      <c r="H161" s="99" t="s">
        <v>5324</v>
      </c>
      <c r="I161" s="99">
        <v>52</v>
      </c>
      <c r="J161" s="1">
        <f>G161*I161</f>
        <v>4498000</v>
      </c>
      <c r="P161" s="114"/>
      <c r="T161" s="96"/>
      <c r="U161" s="322" t="s">
        <v>4434</v>
      </c>
      <c r="V161" s="322">
        <v>51212</v>
      </c>
      <c r="W161" s="90">
        <f>V161*$T$360</f>
        <v>94815798.128385991</v>
      </c>
      <c r="X161" s="217"/>
      <c r="Y161" s="96"/>
      <c r="Z161" t="s">
        <v>25</v>
      </c>
      <c r="AH161" s="99">
        <v>141</v>
      </c>
      <c r="AI161" s="113" t="s">
        <v>4951</v>
      </c>
      <c r="AJ161" s="113">
        <v>115000</v>
      </c>
      <c r="AK161" s="99"/>
      <c r="AL161" s="20">
        <f t="shared" si="51"/>
        <v>266</v>
      </c>
      <c r="AM161" s="117">
        <f t="shared" si="52"/>
        <v>30590000</v>
      </c>
      <c r="AN161" s="20"/>
      <c r="AQ161" t="s">
        <v>25</v>
      </c>
    </row>
    <row r="162" spans="7:43">
      <c r="G162" s="99"/>
      <c r="H162" s="99" t="s">
        <v>5326</v>
      </c>
      <c r="I162" s="99">
        <v>0</v>
      </c>
      <c r="J162" s="1">
        <f>I162</f>
        <v>0</v>
      </c>
      <c r="N162" s="96"/>
      <c r="O162" s="96"/>
      <c r="P162" s="114"/>
      <c r="Q162" t="s">
        <v>25</v>
      </c>
      <c r="R162" t="s">
        <v>25</v>
      </c>
      <c r="T162" s="96"/>
      <c r="U162" s="322" t="s">
        <v>1083</v>
      </c>
      <c r="V162" s="322">
        <v>115465</v>
      </c>
      <c r="W162" s="90">
        <f>V162*$T$360</f>
        <v>213776187.82500368</v>
      </c>
      <c r="X162" s="115"/>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35282772.600000001</v>
      </c>
      <c r="J163" s="1"/>
      <c r="N163" s="96"/>
      <c r="O163" s="96"/>
      <c r="T163" s="96"/>
      <c r="U163" s="322" t="s">
        <v>5465</v>
      </c>
      <c r="V163" s="322">
        <v>2394</v>
      </c>
      <c r="W163" s="90">
        <f>V163*$T$360</f>
        <v>4432340.48112466</v>
      </c>
      <c r="X163" s="115"/>
      <c r="Y163" s="122" t="s">
        <v>25</v>
      </c>
      <c r="AH163" s="99">
        <v>143</v>
      </c>
      <c r="AI163" s="113" t="s">
        <v>4959</v>
      </c>
      <c r="AJ163" s="113">
        <v>900000</v>
      </c>
      <c r="AK163" s="99">
        <v>1</v>
      </c>
      <c r="AL163" s="20">
        <f t="shared" si="51"/>
        <v>266</v>
      </c>
      <c r="AM163" s="117">
        <f t="shared" si="52"/>
        <v>239400000</v>
      </c>
      <c r="AN163" s="20" t="s">
        <v>4967</v>
      </c>
    </row>
    <row r="164" spans="7:43">
      <c r="N164" s="96"/>
      <c r="O164" s="96"/>
      <c r="T164" s="96" t="s">
        <v>25</v>
      </c>
      <c r="U164" s="322"/>
      <c r="V164" s="322"/>
      <c r="W164" s="322"/>
      <c r="X164" s="115"/>
      <c r="Y164" s="96" t="s">
        <v>25</v>
      </c>
      <c r="AH164" s="99">
        <v>144</v>
      </c>
      <c r="AI164" s="113" t="s">
        <v>4965</v>
      </c>
      <c r="AJ164" s="113">
        <v>2000000</v>
      </c>
      <c r="AK164" s="99">
        <v>0</v>
      </c>
      <c r="AL164" s="20">
        <f t="shared" si="51"/>
        <v>265</v>
      </c>
      <c r="AM164" s="117">
        <f t="shared" si="52"/>
        <v>530000000</v>
      </c>
      <c r="AN164" s="20"/>
    </row>
    <row r="165" spans="7:43">
      <c r="K165" t="s">
        <v>25</v>
      </c>
      <c r="N165" s="96"/>
      <c r="O165" s="96"/>
      <c r="S165" t="s">
        <v>25</v>
      </c>
      <c r="T165" s="96"/>
      <c r="U165" s="89"/>
      <c r="V165" s="89"/>
      <c r="W165" s="89"/>
      <c r="X165" s="114"/>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10622917.200000001</v>
      </c>
      <c r="N166" s="96"/>
      <c r="O166" s="96"/>
      <c r="P166" s="114"/>
      <c r="T166" s="96"/>
      <c r="U166" s="89"/>
      <c r="V166" s="89"/>
      <c r="W166" s="89"/>
      <c r="X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11945784.42223</v>
      </c>
      <c r="N167" s="96"/>
      <c r="O167" s="96"/>
      <c r="T167" s="96"/>
      <c r="U167" s="89"/>
      <c r="V167" s="89"/>
      <c r="W167" s="89"/>
      <c r="X167" s="96"/>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-1322867.2222299993</v>
      </c>
      <c r="N168" s="96"/>
      <c r="O168" s="96"/>
      <c r="P168" s="114"/>
      <c r="T168" s="96"/>
      <c r="U168" s="89"/>
      <c r="V168" s="89"/>
      <c r="W168" s="89"/>
      <c r="X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T169" s="96"/>
      <c r="U169" s="89"/>
      <c r="V169" s="89" t="s">
        <v>4991</v>
      </c>
      <c r="W169" s="142">
        <f>W159-R176</f>
        <v>766619324.2113378</v>
      </c>
      <c r="X169" s="96"/>
      <c r="Y169" t="s">
        <v>25</v>
      </c>
      <c r="AH169" s="99">
        <v>149</v>
      </c>
      <c r="AI169" s="113" t="s">
        <v>4997</v>
      </c>
      <c r="AJ169" s="113">
        <v>1130250</v>
      </c>
      <c r="AK169" s="99">
        <v>5</v>
      </c>
      <c r="AL169" s="20">
        <f t="shared" si="44"/>
        <v>247</v>
      </c>
      <c r="AM169" s="117">
        <f t="shared" si="50"/>
        <v>279171750</v>
      </c>
      <c r="AN169" s="20"/>
    </row>
    <row r="170" spans="7:43">
      <c r="J170" s="114">
        <f>J167-J161</f>
        <v>7447784.4222299997</v>
      </c>
      <c r="P170" s="114"/>
      <c r="Q170" s="96"/>
      <c r="R170" s="96"/>
      <c r="S170" s="96"/>
      <c r="T170" s="96"/>
      <c r="U170" s="89"/>
      <c r="V170" s="89" t="s">
        <v>4992</v>
      </c>
      <c r="W170" s="142">
        <f>W162+W161-R177</f>
        <v>69945740.353389651</v>
      </c>
      <c r="X170" s="115"/>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S171" s="96"/>
      <c r="T171" s="96"/>
      <c r="V171" s="96"/>
      <c r="Z171" t="s">
        <v>25</v>
      </c>
      <c r="AH171" s="99">
        <v>151</v>
      </c>
      <c r="AI171" s="113" t="s">
        <v>5012</v>
      </c>
      <c r="AJ171" s="113">
        <v>50000</v>
      </c>
      <c r="AK171" s="99">
        <v>2</v>
      </c>
      <c r="AL171" s="20">
        <f t="shared" si="44"/>
        <v>240</v>
      </c>
      <c r="AM171" s="117">
        <f t="shared" si="50"/>
        <v>12000000</v>
      </c>
      <c r="AN171" s="20"/>
    </row>
    <row r="172" spans="7:43">
      <c r="J172" t="s">
        <v>25</v>
      </c>
      <c r="P172" s="114"/>
      <c r="S172" s="96"/>
      <c r="T172" s="96" t="s">
        <v>25</v>
      </c>
      <c r="V172" s="96"/>
      <c r="Y172" t="s">
        <v>25</v>
      </c>
      <c r="AH172" s="99">
        <v>152</v>
      </c>
      <c r="AI172" s="113" t="s">
        <v>5016</v>
      </c>
      <c r="AJ172" s="113">
        <v>105000</v>
      </c>
      <c r="AK172" s="99">
        <v>4</v>
      </c>
      <c r="AL172" s="20">
        <f t="shared" si="44"/>
        <v>238</v>
      </c>
      <c r="AM172" s="117">
        <f t="shared" si="50"/>
        <v>24990000</v>
      </c>
      <c r="AN172" s="20"/>
    </row>
    <row r="173" spans="7:43">
      <c r="N173" s="114"/>
      <c r="Q173" s="96"/>
      <c r="R173" s="96"/>
      <c r="S173" s="96"/>
      <c r="T173" s="96"/>
      <c r="V173" s="96"/>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6"/>
      <c r="R174" s="96"/>
      <c r="S174" s="96"/>
      <c r="T174" s="99" t="s">
        <v>180</v>
      </c>
      <c r="U174" s="99" t="s">
        <v>4463</v>
      </c>
      <c r="V174" s="99" t="s">
        <v>4464</v>
      </c>
      <c r="W174" s="99" t="s">
        <v>4474</v>
      </c>
      <c r="X174" s="99" t="s">
        <v>8</v>
      </c>
      <c r="Y174" t="s">
        <v>25</v>
      </c>
      <c r="Z174" t="s">
        <v>25</v>
      </c>
      <c r="AH174" s="99">
        <v>154</v>
      </c>
      <c r="AI174" s="113" t="s">
        <v>5021</v>
      </c>
      <c r="AJ174" s="113">
        <v>2500000</v>
      </c>
      <c r="AK174" s="99">
        <v>2</v>
      </c>
      <c r="AL174" s="20">
        <f t="shared" si="44"/>
        <v>233</v>
      </c>
      <c r="AM174" s="117">
        <f t="shared" si="50"/>
        <v>582500000</v>
      </c>
      <c r="AN174" s="20"/>
    </row>
    <row r="175" spans="7:43">
      <c r="G175" s="32">
        <f>O21+O31+O52+I143</f>
        <v>3790634</v>
      </c>
      <c r="H175" s="32" t="s">
        <v>5611</v>
      </c>
      <c r="I175" s="32">
        <f>O23+O28+O48+I144+O44</f>
        <v>189122</v>
      </c>
      <c r="K175" s="96"/>
      <c r="L175" s="96"/>
      <c r="O175" s="96"/>
      <c r="P175" s="114"/>
      <c r="Q175" s="36" t="s">
        <v>4548</v>
      </c>
      <c r="R175" s="95">
        <f>SUM(N44:N54)</f>
        <v>4415627437.1000004</v>
      </c>
      <c r="T175" s="113" t="s">
        <v>4445</v>
      </c>
      <c r="U175" s="56">
        <v>1000000</v>
      </c>
      <c r="V175" s="113">
        <v>239.024</v>
      </c>
      <c r="W175" s="113">
        <f t="shared" ref="W175:W276" si="53">U175*V175</f>
        <v>239024000</v>
      </c>
      <c r="X175" s="99"/>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2143520.9587951601</v>
      </c>
      <c r="H176" s="298" t="s">
        <v>5612</v>
      </c>
      <c r="I176" s="32">
        <f>(J143+N52+N47+N31+N25+N21)/P48</f>
        <v>339287.38339486177</v>
      </c>
      <c r="K176" s="96"/>
      <c r="L176" s="96"/>
      <c r="O176" s="96"/>
      <c r="P176" s="114"/>
      <c r="Q176" s="99" t="s">
        <v>4436</v>
      </c>
      <c r="R176" s="95">
        <f>SUM(N21:N25)</f>
        <v>2108177456.8999999</v>
      </c>
      <c r="T176" s="168" t="s">
        <v>4427</v>
      </c>
      <c r="U176" s="56">
        <v>5904</v>
      </c>
      <c r="V176" s="113">
        <v>237.148</v>
      </c>
      <c r="W176" s="113">
        <f t="shared" si="53"/>
        <v>1400121.7919999999</v>
      </c>
      <c r="X176" s="99" t="s">
        <v>749</v>
      </c>
      <c r="Z176" t="s">
        <v>25</v>
      </c>
      <c r="AH176" s="99">
        <v>156</v>
      </c>
      <c r="AI176" s="113" t="s">
        <v>5033</v>
      </c>
      <c r="AJ176" s="113">
        <v>10000000</v>
      </c>
      <c r="AK176" s="99">
        <v>12</v>
      </c>
      <c r="AL176" s="20">
        <f t="shared" si="44"/>
        <v>224</v>
      </c>
      <c r="AM176" s="117">
        <f t="shared" si="50"/>
        <v>2240000000</v>
      </c>
      <c r="AN176" s="20" t="s">
        <v>4723</v>
      </c>
    </row>
    <row r="177" spans="7:43">
      <c r="G177" s="32">
        <f>G175+G176</f>
        <v>5934154.9587951601</v>
      </c>
      <c r="H177" s="32" t="s">
        <v>5613</v>
      </c>
      <c r="I177" s="32">
        <f>I175+I176</f>
        <v>528409.38339486183</v>
      </c>
      <c r="K177" s="96"/>
      <c r="L177" s="96"/>
      <c r="P177" s="114"/>
      <c r="Q177" s="99" t="s">
        <v>4437</v>
      </c>
      <c r="R177" s="95">
        <f>SUM(N28:N31)</f>
        <v>238646245.59999999</v>
      </c>
      <c r="T177" s="168" t="s">
        <v>4222</v>
      </c>
      <c r="U177" s="168">
        <v>1000</v>
      </c>
      <c r="V177" s="113">
        <v>247.393</v>
      </c>
      <c r="W177" s="113">
        <f t="shared" si="53"/>
        <v>247393</v>
      </c>
      <c r="X177" s="99" t="s">
        <v>749</v>
      </c>
      <c r="AH177" s="99">
        <v>157</v>
      </c>
      <c r="AI177" s="113" t="s">
        <v>5040</v>
      </c>
      <c r="AJ177" s="113">
        <v>-16266000</v>
      </c>
      <c r="AK177" s="99">
        <v>1</v>
      </c>
      <c r="AL177" s="20">
        <f t="shared" si="44"/>
        <v>212</v>
      </c>
      <c r="AM177" s="117">
        <f t="shared" si="50"/>
        <v>-3448392000</v>
      </c>
      <c r="AN177" s="20" t="s">
        <v>5048</v>
      </c>
      <c r="AQ177" t="s">
        <v>25</v>
      </c>
    </row>
    <row r="178" spans="7:43">
      <c r="G178" s="32">
        <f>(W161+W162+W163)/P52</f>
        <v>264848.40209367481</v>
      </c>
      <c r="H178" s="32" t="s">
        <v>5573</v>
      </c>
      <c r="I178" s="32">
        <f>(W161+W162+W163)/P48</f>
        <v>23583.540001093519</v>
      </c>
      <c r="K178" s="96"/>
      <c r="L178" s="96"/>
      <c r="P178" s="114"/>
      <c r="Q178" s="99" t="s">
        <v>4438</v>
      </c>
      <c r="R178" s="95">
        <f>N42</f>
        <v>2270</v>
      </c>
      <c r="T178" s="168" t="s">
        <v>4475</v>
      </c>
      <c r="U178" s="168">
        <v>8071</v>
      </c>
      <c r="V178" s="113">
        <v>247.797</v>
      </c>
      <c r="W178" s="113">
        <f t="shared" si="53"/>
        <v>1999969.5870000001</v>
      </c>
      <c r="X178" s="99" t="s">
        <v>4434</v>
      </c>
      <c r="Y178" t="s">
        <v>25</v>
      </c>
      <c r="AH178" s="99">
        <v>158</v>
      </c>
      <c r="AI178" s="113" t="s">
        <v>5049</v>
      </c>
      <c r="AJ178" s="113">
        <v>1000000</v>
      </c>
      <c r="AK178" s="99">
        <v>6</v>
      </c>
      <c r="AL178" s="20">
        <f>AL179+AK178</f>
        <v>211</v>
      </c>
      <c r="AM178" s="117">
        <f>AJ178*AL178</f>
        <v>211000000</v>
      </c>
      <c r="AN178" s="20"/>
    </row>
    <row r="179" spans="7:43">
      <c r="G179" s="32">
        <f>W159/P52</f>
        <v>2432351.9596508481</v>
      </c>
      <c r="H179" s="32" t="s">
        <v>483</v>
      </c>
      <c r="I179" s="32">
        <f>W159/P48</f>
        <v>216589.82755302778</v>
      </c>
      <c r="J179" s="96"/>
      <c r="K179" s="96"/>
      <c r="L179" s="96"/>
      <c r="M179" t="s">
        <v>25</v>
      </c>
      <c r="P179" s="114"/>
      <c r="Q179" s="99" t="s">
        <v>4439</v>
      </c>
      <c r="R179" s="95">
        <f>N20</f>
        <v>4077</v>
      </c>
      <c r="T179" s="168" t="s">
        <v>4475</v>
      </c>
      <c r="U179" s="168">
        <v>53672</v>
      </c>
      <c r="V179" s="113">
        <v>247.797</v>
      </c>
      <c r="W179" s="113">
        <f t="shared" si="53"/>
        <v>13299760.584000001</v>
      </c>
      <c r="X179" s="99" t="s">
        <v>452</v>
      </c>
      <c r="Y179" t="s">
        <v>25</v>
      </c>
      <c r="AH179" s="99">
        <v>159</v>
      </c>
      <c r="AI179" s="113" t="s">
        <v>5057</v>
      </c>
      <c r="AJ179" s="113">
        <v>40000</v>
      </c>
      <c r="AK179" s="99">
        <v>5</v>
      </c>
      <c r="AL179" s="20">
        <f>AL180+AK179</f>
        <v>205</v>
      </c>
      <c r="AM179" s="117">
        <f>AJ179*AL179</f>
        <v>8200000</v>
      </c>
      <c r="AN179" s="20"/>
    </row>
    <row r="180" spans="7:43">
      <c r="G180" s="32">
        <f>G177-G178-G179</f>
        <v>3236954.597050637</v>
      </c>
      <c r="H180" s="32" t="s">
        <v>5</v>
      </c>
      <c r="I180" s="32">
        <f>I177-I178-I179</f>
        <v>288236.01584074053</v>
      </c>
      <c r="P180" s="114"/>
      <c r="Q180" s="99" t="s">
        <v>4440</v>
      </c>
      <c r="R180" s="95">
        <f>N27</f>
        <v>22500</v>
      </c>
      <c r="T180" s="168" t="s">
        <v>4483</v>
      </c>
      <c r="U180" s="168">
        <v>4099</v>
      </c>
      <c r="V180" s="113">
        <v>243.93</v>
      </c>
      <c r="W180" s="113">
        <f t="shared" si="53"/>
        <v>999869.07000000007</v>
      </c>
      <c r="X180" s="99" t="s">
        <v>4434</v>
      </c>
      <c r="AB180" t="s">
        <v>25</v>
      </c>
      <c r="AH180" s="99">
        <v>160</v>
      </c>
      <c r="AI180" s="113" t="s">
        <v>5068</v>
      </c>
      <c r="AJ180" s="113">
        <v>120000</v>
      </c>
      <c r="AK180" s="99">
        <v>6</v>
      </c>
      <c r="AL180" s="20">
        <f>AL181+AK180</f>
        <v>200</v>
      </c>
      <c r="AM180" s="117">
        <f>AJ180*AL180</f>
        <v>24000000</v>
      </c>
      <c r="AN180" s="20"/>
    </row>
    <row r="181" spans="7:43">
      <c r="P181" s="114"/>
      <c r="Q181" s="99" t="s">
        <v>5638</v>
      </c>
      <c r="R181" s="95">
        <v>994</v>
      </c>
      <c r="S181" t="s">
        <v>25</v>
      </c>
      <c r="T181" s="168" t="s">
        <v>4483</v>
      </c>
      <c r="U181" s="168">
        <v>9301</v>
      </c>
      <c r="V181" s="113">
        <v>243.93</v>
      </c>
      <c r="W181" s="113">
        <f t="shared" si="53"/>
        <v>2268792.9300000002</v>
      </c>
      <c r="X181" s="99" t="s">
        <v>452</v>
      </c>
      <c r="Y181" t="s">
        <v>25</v>
      </c>
      <c r="Z181" t="s">
        <v>25</v>
      </c>
      <c r="AH181" s="99">
        <v>161</v>
      </c>
      <c r="AI181" s="113" t="s">
        <v>5062</v>
      </c>
      <c r="AJ181" s="113">
        <v>249000</v>
      </c>
      <c r="AK181" s="99">
        <v>9</v>
      </c>
      <c r="AL181" s="20">
        <f>AL182+AK181</f>
        <v>194</v>
      </c>
      <c r="AM181" s="117">
        <f>AJ181*AL181</f>
        <v>48306000</v>
      </c>
      <c r="AN181" s="20"/>
    </row>
    <row r="182" spans="7:43">
      <c r="K182" s="96"/>
      <c r="L182" s="96"/>
      <c r="P182" s="96"/>
      <c r="Q182" s="99" t="s">
        <v>5127</v>
      </c>
      <c r="R182" s="95">
        <v>0</v>
      </c>
      <c r="T182" s="168" t="s">
        <v>4489</v>
      </c>
      <c r="U182" s="168">
        <v>8334</v>
      </c>
      <c r="V182" s="113">
        <v>239.97</v>
      </c>
      <c r="W182" s="113">
        <f t="shared" si="53"/>
        <v>1999909.98</v>
      </c>
      <c r="X182" s="99" t="s">
        <v>4434</v>
      </c>
      <c r="Y182" t="s">
        <v>25</v>
      </c>
      <c r="AH182" s="99">
        <v>162</v>
      </c>
      <c r="AI182" s="113" t="s">
        <v>5090</v>
      </c>
      <c r="AJ182" s="113">
        <v>65000</v>
      </c>
      <c r="AK182" s="99">
        <v>7</v>
      </c>
      <c r="AL182" s="20">
        <f>AL183+AK182</f>
        <v>185</v>
      </c>
      <c r="AM182" s="117">
        <f>AJ182*AL182</f>
        <v>12025000</v>
      </c>
      <c r="AN182" s="20"/>
    </row>
    <row r="183" spans="7:43">
      <c r="P183" s="114"/>
      <c r="Q183" s="99" t="s">
        <v>5601</v>
      </c>
      <c r="R183" s="95">
        <v>-3000000</v>
      </c>
      <c r="S183" s="96"/>
      <c r="T183" s="168" t="s">
        <v>4221</v>
      </c>
      <c r="U183" s="168">
        <v>29041</v>
      </c>
      <c r="V183" s="113">
        <v>233.45</v>
      </c>
      <c r="W183" s="113">
        <f t="shared" si="53"/>
        <v>6779621.4499999993</v>
      </c>
      <c r="X183" s="99" t="s">
        <v>749</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5614</v>
      </c>
      <c r="I184" s="213" t="s">
        <v>5615</v>
      </c>
      <c r="J184" s="213" t="s">
        <v>5616</v>
      </c>
      <c r="K184" s="32" t="s">
        <v>5617</v>
      </c>
      <c r="L184" s="99" t="s">
        <v>5632</v>
      </c>
      <c r="M184" s="99" t="s">
        <v>5633</v>
      </c>
      <c r="P184" s="114"/>
      <c r="Q184" s="99" t="s">
        <v>5600</v>
      </c>
      <c r="R184" s="95">
        <v>-1000000</v>
      </c>
      <c r="S184" s="96"/>
      <c r="T184" s="168" t="s">
        <v>991</v>
      </c>
      <c r="U184" s="168">
        <v>12337</v>
      </c>
      <c r="V184" s="113">
        <v>243.16300000000001</v>
      </c>
      <c r="W184" s="113">
        <f t="shared" si="53"/>
        <v>2999901.9310000003</v>
      </c>
      <c r="X184" s="99" t="s">
        <v>4434</v>
      </c>
      <c r="AH184" s="99">
        <v>164</v>
      </c>
      <c r="AI184" s="113" t="s">
        <v>5100</v>
      </c>
      <c r="AJ184" s="113">
        <v>50000</v>
      </c>
      <c r="AK184" s="99">
        <v>6</v>
      </c>
      <c r="AL184" s="20">
        <f t="shared" si="54"/>
        <v>178</v>
      </c>
      <c r="AM184" s="117">
        <f t="shared" si="55"/>
        <v>8900000</v>
      </c>
      <c r="AN184" s="20"/>
    </row>
    <row r="185" spans="7:43">
      <c r="G185" s="32" t="s">
        <v>5593</v>
      </c>
      <c r="H185" s="32">
        <v>3256760</v>
      </c>
      <c r="I185" s="213">
        <v>245992</v>
      </c>
      <c r="J185" s="213">
        <v>2544443</v>
      </c>
      <c r="K185" s="32">
        <v>192693</v>
      </c>
      <c r="L185" s="99">
        <f>H185+J185</f>
        <v>5801203</v>
      </c>
      <c r="M185" s="99">
        <f>I185+K185</f>
        <v>438685</v>
      </c>
      <c r="P185" s="114"/>
      <c r="Q185" s="99" t="s">
        <v>5597</v>
      </c>
      <c r="R185" s="95">
        <v>-2000000</v>
      </c>
      <c r="T185" s="168" t="s">
        <v>4567</v>
      </c>
      <c r="U185" s="168">
        <v>-16118</v>
      </c>
      <c r="V185" s="113">
        <v>248.17</v>
      </c>
      <c r="W185" s="113">
        <f t="shared" si="53"/>
        <v>-4000004.0599999996</v>
      </c>
      <c r="X185" s="99" t="s">
        <v>749</v>
      </c>
      <c r="Y185" t="s">
        <v>25</v>
      </c>
      <c r="Z185" t="s">
        <v>25</v>
      </c>
      <c r="AH185" s="99">
        <v>165</v>
      </c>
      <c r="AI185" s="113" t="s">
        <v>5110</v>
      </c>
      <c r="AJ185" s="113">
        <v>-200000</v>
      </c>
      <c r="AK185" s="99">
        <v>0</v>
      </c>
      <c r="AL185" s="20">
        <f t="shared" si="54"/>
        <v>172</v>
      </c>
      <c r="AM185" s="117">
        <f t="shared" si="55"/>
        <v>-34400000</v>
      </c>
      <c r="AN185" s="20" t="s">
        <v>5111</v>
      </c>
    </row>
    <row r="186" spans="7:43">
      <c r="G186" s="32" t="s">
        <v>5618</v>
      </c>
      <c r="H186" s="32">
        <v>3245022</v>
      </c>
      <c r="I186" s="213">
        <v>249261</v>
      </c>
      <c r="J186" s="213">
        <v>2532877</v>
      </c>
      <c r="K186" s="32">
        <v>195062</v>
      </c>
      <c r="L186" s="99">
        <f>H186+J186</f>
        <v>5777899</v>
      </c>
      <c r="M186" s="99">
        <f>I186+K186</f>
        <v>444323</v>
      </c>
      <c r="P186" s="114"/>
      <c r="Q186" s="99"/>
      <c r="R186" s="95"/>
      <c r="S186" s="96"/>
      <c r="T186" s="168" t="s">
        <v>4594</v>
      </c>
      <c r="U186" s="168">
        <v>101681</v>
      </c>
      <c r="V186" s="113">
        <v>246.5711</v>
      </c>
      <c r="W186" s="113">
        <f t="shared" si="53"/>
        <v>25071596.019099999</v>
      </c>
      <c r="X186" s="99" t="s">
        <v>452</v>
      </c>
      <c r="AH186" s="99">
        <v>166</v>
      </c>
      <c r="AI186" s="113" t="s">
        <v>5110</v>
      </c>
      <c r="AJ186" s="113">
        <v>200000</v>
      </c>
      <c r="AK186" s="99">
        <v>3</v>
      </c>
      <c r="AL186" s="20">
        <f t="shared" si="54"/>
        <v>172</v>
      </c>
      <c r="AM186" s="117">
        <f t="shared" si="55"/>
        <v>34400000</v>
      </c>
      <c r="AN186" s="20"/>
      <c r="AQ186" t="s">
        <v>25</v>
      </c>
    </row>
    <row r="187" spans="7:43">
      <c r="G187" s="32" t="s">
        <v>5619</v>
      </c>
      <c r="H187" s="32"/>
      <c r="I187" s="213"/>
      <c r="J187" s="213"/>
      <c r="K187" s="32"/>
      <c r="L187" s="99">
        <f t="shared" ref="L187:L194" si="56">H187+J187</f>
        <v>0</v>
      </c>
      <c r="M187" s="99">
        <f t="shared" ref="M187:M194" si="57">I187+K187</f>
        <v>0</v>
      </c>
      <c r="P187" t="s">
        <v>25</v>
      </c>
      <c r="Q187" s="99" t="s">
        <v>5128</v>
      </c>
      <c r="R187" s="95">
        <v>0</v>
      </c>
      <c r="S187" s="115" t="s">
        <v>25</v>
      </c>
      <c r="T187" s="168" t="s">
        <v>4598</v>
      </c>
      <c r="U187" s="168">
        <v>66606</v>
      </c>
      <c r="V187" s="113">
        <v>251.131</v>
      </c>
      <c r="W187" s="113">
        <f t="shared" si="53"/>
        <v>16726831.386</v>
      </c>
      <c r="X187" s="99" t="s">
        <v>749</v>
      </c>
      <c r="Y187" t="s">
        <v>25</v>
      </c>
      <c r="Z187" t="s">
        <v>25</v>
      </c>
      <c r="AH187" s="99">
        <v>167</v>
      </c>
      <c r="AI187" s="113" t="s">
        <v>5117</v>
      </c>
      <c r="AJ187" s="113">
        <v>200000</v>
      </c>
      <c r="AK187" s="99">
        <v>3</v>
      </c>
      <c r="AL187" s="20">
        <f t="shared" si="54"/>
        <v>169</v>
      </c>
      <c r="AM187" s="117">
        <f t="shared" si="55"/>
        <v>33800000</v>
      </c>
      <c r="AN187" s="20"/>
    </row>
    <row r="188" spans="7:43">
      <c r="G188" s="32" t="s">
        <v>5620</v>
      </c>
      <c r="H188" s="32"/>
      <c r="I188" s="213"/>
      <c r="J188" s="213"/>
      <c r="K188" s="32"/>
      <c r="L188" s="99">
        <f t="shared" si="56"/>
        <v>0</v>
      </c>
      <c r="M188" s="99">
        <f t="shared" si="57"/>
        <v>0</v>
      </c>
      <c r="O188" s="96"/>
      <c r="P188" s="114"/>
      <c r="Q188" s="99" t="s">
        <v>5567</v>
      </c>
      <c r="R188" s="95">
        <f>-4900*P52</f>
        <v>-5791310</v>
      </c>
      <c r="S188" s="122" t="s">
        <v>25</v>
      </c>
      <c r="T188" s="168" t="s">
        <v>4603</v>
      </c>
      <c r="U188" s="168">
        <v>172025</v>
      </c>
      <c r="V188" s="113">
        <v>245.52809999999999</v>
      </c>
      <c r="W188" s="113">
        <f t="shared" si="53"/>
        <v>42236971.402499996</v>
      </c>
      <c r="X188" s="99" t="s">
        <v>452</v>
      </c>
      <c r="AH188" s="99">
        <v>168</v>
      </c>
      <c r="AI188" s="113" t="s">
        <v>5120</v>
      </c>
      <c r="AJ188" s="113">
        <v>30000</v>
      </c>
      <c r="AK188" s="99">
        <v>7</v>
      </c>
      <c r="AL188" s="20">
        <f t="shared" si="54"/>
        <v>166</v>
      </c>
      <c r="AM188" s="117">
        <f t="shared" si="55"/>
        <v>4980000</v>
      </c>
      <c r="AN188" s="20"/>
    </row>
    <row r="189" spans="7:43">
      <c r="G189" s="32" t="s">
        <v>5654</v>
      </c>
      <c r="H189" s="32">
        <v>3270584</v>
      </c>
      <c r="I189" s="213">
        <v>250916</v>
      </c>
      <c r="J189" s="213">
        <v>2496979</v>
      </c>
      <c r="K189" s="32">
        <v>203160</v>
      </c>
      <c r="L189" s="99">
        <f t="shared" si="56"/>
        <v>5767563</v>
      </c>
      <c r="M189" s="99">
        <f t="shared" si="57"/>
        <v>454076</v>
      </c>
      <c r="O189" t="s">
        <v>25</v>
      </c>
      <c r="Q189" s="99"/>
      <c r="R189" s="95"/>
      <c r="S189" s="115"/>
      <c r="T189" s="168" t="s">
        <v>4603</v>
      </c>
      <c r="U189" s="168">
        <v>189227</v>
      </c>
      <c r="V189" s="113">
        <v>245.52809999999999</v>
      </c>
      <c r="W189" s="113">
        <f t="shared" si="53"/>
        <v>46460545.778700002</v>
      </c>
      <c r="X189" s="99" t="s">
        <v>749</v>
      </c>
      <c r="Y189" t="s">
        <v>25</v>
      </c>
      <c r="AH189" s="99">
        <v>169</v>
      </c>
      <c r="AI189" s="113" t="s">
        <v>5078</v>
      </c>
      <c r="AJ189" s="113">
        <v>-10000000</v>
      </c>
      <c r="AK189" s="99">
        <v>0</v>
      </c>
      <c r="AL189" s="20">
        <f t="shared" si="54"/>
        <v>159</v>
      </c>
      <c r="AM189" s="117">
        <f t="shared" si="55"/>
        <v>-1590000000</v>
      </c>
      <c r="AN189" s="20" t="s">
        <v>5035</v>
      </c>
    </row>
    <row r="190" spans="7:43">
      <c r="G190" s="32" t="s">
        <v>5657</v>
      </c>
      <c r="H190" s="32">
        <v>3225584</v>
      </c>
      <c r="I190" s="213">
        <v>260042</v>
      </c>
      <c r="J190" s="213">
        <v>2466124</v>
      </c>
      <c r="K190" s="32">
        <v>210439</v>
      </c>
      <c r="L190" s="99">
        <f t="shared" si="56"/>
        <v>5691708</v>
      </c>
      <c r="M190" s="99">
        <f t="shared" si="57"/>
        <v>470481</v>
      </c>
      <c r="P190" s="114"/>
      <c r="Q190" s="99"/>
      <c r="R190" s="99"/>
      <c r="S190" s="115"/>
      <c r="T190" s="168" t="s">
        <v>4604</v>
      </c>
      <c r="U190" s="168">
        <v>79720</v>
      </c>
      <c r="V190" s="113">
        <v>246.6568</v>
      </c>
      <c r="W190" s="113">
        <f t="shared" si="53"/>
        <v>19663480.096000001</v>
      </c>
      <c r="X190" s="99" t="s">
        <v>452</v>
      </c>
      <c r="Y190" t="s">
        <v>25</v>
      </c>
      <c r="AH190" s="99">
        <v>170</v>
      </c>
      <c r="AI190" s="113" t="s">
        <v>5078</v>
      </c>
      <c r="AJ190" s="113">
        <v>6000000</v>
      </c>
      <c r="AK190" s="99">
        <v>8</v>
      </c>
      <c r="AL190" s="20">
        <f t="shared" si="54"/>
        <v>159</v>
      </c>
      <c r="AM190" s="117">
        <f t="shared" si="55"/>
        <v>954000000</v>
      </c>
      <c r="AN190" s="20"/>
      <c r="AP190" t="s">
        <v>25</v>
      </c>
    </row>
    <row r="191" spans="7:43">
      <c r="G191" s="32" t="s">
        <v>5661</v>
      </c>
      <c r="H191" s="32">
        <v>3271778</v>
      </c>
      <c r="I191" s="213">
        <v>282233</v>
      </c>
      <c r="J191" s="213">
        <v>2458563</v>
      </c>
      <c r="K191" s="32">
        <v>212082</v>
      </c>
      <c r="L191" s="99">
        <f t="shared" si="56"/>
        <v>5730341</v>
      </c>
      <c r="M191" s="99">
        <f t="shared" si="57"/>
        <v>494315</v>
      </c>
      <c r="O191" t="s">
        <v>25</v>
      </c>
      <c r="P191" s="114"/>
      <c r="Q191" s="99" t="s">
        <v>4444</v>
      </c>
      <c r="R191" s="95">
        <f>SUM(R175:R187)</f>
        <v>6756480980.6000004</v>
      </c>
      <c r="T191" s="168" t="s">
        <v>4604</v>
      </c>
      <c r="U191" s="168">
        <v>79720</v>
      </c>
      <c r="V191" s="113">
        <v>246.6568</v>
      </c>
      <c r="W191" s="113">
        <f t="shared" si="53"/>
        <v>19663480.096000001</v>
      </c>
      <c r="X191" s="99" t="s">
        <v>749</v>
      </c>
      <c r="Y191" t="s">
        <v>25</v>
      </c>
      <c r="AH191" s="99">
        <v>171</v>
      </c>
      <c r="AI191" s="113" t="s">
        <v>5147</v>
      </c>
      <c r="AJ191" s="113">
        <v>150000</v>
      </c>
      <c r="AK191" s="99">
        <v>7</v>
      </c>
      <c r="AL191" s="20">
        <f>AL192+AK191</f>
        <v>151</v>
      </c>
      <c r="AM191" s="117">
        <f>AJ191*AL191</f>
        <v>22650000</v>
      </c>
      <c r="AN191" s="20"/>
    </row>
    <row r="192" spans="7:43">
      <c r="G192" s="32"/>
      <c r="H192" s="32"/>
      <c r="I192" s="213"/>
      <c r="J192" s="213"/>
      <c r="K192" s="32"/>
      <c r="L192" s="99"/>
      <c r="M192" s="99"/>
      <c r="Q192" s="96"/>
      <c r="T192" s="168" t="s">
        <v>4627</v>
      </c>
      <c r="U192" s="168">
        <v>17769</v>
      </c>
      <c r="V192" s="113">
        <v>246.17877999999999</v>
      </c>
      <c r="W192" s="113">
        <f t="shared" si="53"/>
        <v>4374350.7418200001</v>
      </c>
      <c r="X192" s="99" t="s">
        <v>749</v>
      </c>
      <c r="AH192" s="99">
        <v>172</v>
      </c>
      <c r="AI192" s="113" t="s">
        <v>5183</v>
      </c>
      <c r="AJ192" s="113">
        <v>400000</v>
      </c>
      <c r="AK192" s="99">
        <v>1</v>
      </c>
      <c r="AL192" s="20">
        <f>AL193+AK192</f>
        <v>144</v>
      </c>
      <c r="AM192" s="117">
        <f>AJ192*AL192</f>
        <v>57600000</v>
      </c>
      <c r="AN192" s="20"/>
    </row>
    <row r="193" spans="7:45">
      <c r="G193" s="32"/>
      <c r="H193" s="32"/>
      <c r="I193" s="213"/>
      <c r="J193" s="213"/>
      <c r="K193" s="32"/>
      <c r="L193" s="99"/>
      <c r="M193" s="99"/>
      <c r="T193" s="168" t="s">
        <v>4627</v>
      </c>
      <c r="U193" s="168">
        <v>17769</v>
      </c>
      <c r="V193" s="113">
        <v>246.17877999999999</v>
      </c>
      <c r="W193" s="113">
        <f t="shared" si="53"/>
        <v>4374350.7418200001</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t="s">
        <v>8</v>
      </c>
      <c r="R194" s="213" t="s">
        <v>4434</v>
      </c>
      <c r="S194" s="213"/>
      <c r="T194" s="168" t="s">
        <v>4629</v>
      </c>
      <c r="U194" s="168">
        <v>12438</v>
      </c>
      <c r="V194" s="113">
        <v>241.20465999999999</v>
      </c>
      <c r="W194" s="113">
        <f t="shared" si="53"/>
        <v>3000103.5610799999</v>
      </c>
      <c r="X194" s="99" t="s">
        <v>4434</v>
      </c>
      <c r="Y194" t="s">
        <v>25</v>
      </c>
      <c r="AH194" s="99">
        <v>174</v>
      </c>
      <c r="AI194" s="113" t="s">
        <v>5191</v>
      </c>
      <c r="AJ194" s="113">
        <v>10000000</v>
      </c>
      <c r="AK194" s="99">
        <v>1</v>
      </c>
      <c r="AL194" s="20">
        <f>AL195+AK194</f>
        <v>142</v>
      </c>
      <c r="AM194" s="117">
        <f>AJ194*AL194</f>
        <v>1420000000</v>
      </c>
      <c r="AN194" s="20" t="s">
        <v>4723</v>
      </c>
      <c r="AS194" t="s">
        <v>25</v>
      </c>
    </row>
    <row r="195" spans="7:45">
      <c r="Q195" s="213"/>
      <c r="R195" s="73" t="s">
        <v>180</v>
      </c>
      <c r="S195" s="213" t="s">
        <v>267</v>
      </c>
      <c r="T195" s="168" t="s">
        <v>4638</v>
      </c>
      <c r="U195" s="168">
        <v>27363</v>
      </c>
      <c r="V195" s="113">
        <v>239.3886</v>
      </c>
      <c r="W195" s="113">
        <f t="shared" si="53"/>
        <v>6550390.2617999995</v>
      </c>
      <c r="X195" s="99" t="s">
        <v>749</v>
      </c>
      <c r="AH195" s="99">
        <v>175</v>
      </c>
      <c r="AI195" s="113" t="s">
        <v>5196</v>
      </c>
      <c r="AJ195" s="113">
        <v>-400000</v>
      </c>
      <c r="AK195" s="99">
        <v>6</v>
      </c>
      <c r="AL195" s="20">
        <f t="shared" ref="AL195:AL203" si="58">AL196+AK195</f>
        <v>141</v>
      </c>
      <c r="AM195" s="117">
        <f t="shared" ref="AM195:AM203" si="59">AJ195*AL195</f>
        <v>-56400000</v>
      </c>
      <c r="AN195" s="20"/>
    </row>
    <row r="196" spans="7:45">
      <c r="Q196" s="213"/>
      <c r="R196" s="213" t="s">
        <v>4427</v>
      </c>
      <c r="S196" s="113">
        <v>3000000</v>
      </c>
      <c r="T196" s="168" t="s">
        <v>4638</v>
      </c>
      <c r="U196" s="168">
        <v>27363</v>
      </c>
      <c r="V196" s="113">
        <v>239.3886</v>
      </c>
      <c r="W196" s="113">
        <f t="shared" si="53"/>
        <v>6550390.2617999995</v>
      </c>
      <c r="X196" s="99" t="s">
        <v>452</v>
      </c>
      <c r="Z196" t="s">
        <v>25</v>
      </c>
      <c r="AA196" t="s">
        <v>25</v>
      </c>
      <c r="AH196" s="99">
        <v>176</v>
      </c>
      <c r="AI196" s="113" t="s">
        <v>5203</v>
      </c>
      <c r="AJ196" s="113">
        <v>1300000</v>
      </c>
      <c r="AK196" s="99">
        <v>0</v>
      </c>
      <c r="AL196" s="20">
        <f t="shared" si="58"/>
        <v>135</v>
      </c>
      <c r="AM196" s="117">
        <f t="shared" si="59"/>
        <v>175500000</v>
      </c>
      <c r="AN196" s="20"/>
      <c r="AR196" t="s">
        <v>25</v>
      </c>
    </row>
    <row r="197" spans="7:45">
      <c r="K197" t="s">
        <v>25</v>
      </c>
      <c r="M197" t="s">
        <v>25</v>
      </c>
      <c r="Q197" s="213"/>
      <c r="R197" s="213" t="s">
        <v>4475</v>
      </c>
      <c r="S197" s="113">
        <v>2000000</v>
      </c>
      <c r="T197" s="210" t="s">
        <v>4640</v>
      </c>
      <c r="U197" s="210">
        <v>27437</v>
      </c>
      <c r="V197" s="113">
        <v>242.4015</v>
      </c>
      <c r="W197" s="113">
        <f t="shared" si="53"/>
        <v>6650769.9555000002</v>
      </c>
      <c r="X197" s="99" t="s">
        <v>749</v>
      </c>
      <c r="Y197" t="s">
        <v>25</v>
      </c>
      <c r="AH197" s="99">
        <v>177</v>
      </c>
      <c r="AI197" s="113" t="s">
        <v>5203</v>
      </c>
      <c r="AJ197" s="113">
        <v>230000</v>
      </c>
      <c r="AK197" s="99">
        <v>1</v>
      </c>
      <c r="AL197" s="20">
        <f t="shared" si="58"/>
        <v>135</v>
      </c>
      <c r="AM197" s="117">
        <f t="shared" si="59"/>
        <v>31050000</v>
      </c>
      <c r="AN197" s="20"/>
    </row>
    <row r="198" spans="7:45">
      <c r="G198" s="99" t="s">
        <v>5598</v>
      </c>
      <c r="H198" s="99"/>
      <c r="I198" s="99"/>
      <c r="Q198" s="213"/>
      <c r="R198" s="213" t="s">
        <v>4483</v>
      </c>
      <c r="S198" s="113">
        <v>1000000</v>
      </c>
      <c r="T198" s="210" t="s">
        <v>4640</v>
      </c>
      <c r="U198" s="210">
        <v>29104</v>
      </c>
      <c r="V198" s="113">
        <v>242.4015</v>
      </c>
      <c r="W198" s="113">
        <f t="shared" si="53"/>
        <v>7054853.2560000001</v>
      </c>
      <c r="X198" s="99" t="s">
        <v>452</v>
      </c>
      <c r="Y198" t="s">
        <v>25</v>
      </c>
      <c r="AH198" s="99">
        <v>178</v>
      </c>
      <c r="AI198" s="113" t="s">
        <v>5206</v>
      </c>
      <c r="AJ198" s="113">
        <v>880000</v>
      </c>
      <c r="AK198" s="99">
        <v>4</v>
      </c>
      <c r="AL198" s="20">
        <f t="shared" si="58"/>
        <v>134</v>
      </c>
      <c r="AM198" s="117">
        <f t="shared" si="59"/>
        <v>117920000</v>
      </c>
      <c r="AN198" s="20"/>
    </row>
    <row r="199" spans="7:45">
      <c r="G199" s="99" t="s">
        <v>452</v>
      </c>
      <c r="H199" s="99">
        <v>199</v>
      </c>
      <c r="I199" s="99" t="s">
        <v>5602</v>
      </c>
      <c r="M199" t="s">
        <v>25</v>
      </c>
      <c r="Q199" s="213"/>
      <c r="R199" s="213" t="s">
        <v>4489</v>
      </c>
      <c r="S199" s="113">
        <v>2000000</v>
      </c>
      <c r="T199" s="213" t="s">
        <v>4657</v>
      </c>
      <c r="U199" s="213">
        <v>8991</v>
      </c>
      <c r="V199" s="113">
        <v>238.64867000000001</v>
      </c>
      <c r="W199" s="113">
        <f t="shared" si="53"/>
        <v>2145690.19197</v>
      </c>
      <c r="X199" s="99" t="s">
        <v>749</v>
      </c>
      <c r="Y199" t="s">
        <v>25</v>
      </c>
      <c r="AH199" s="99">
        <v>179</v>
      </c>
      <c r="AI199" s="113" t="s">
        <v>5211</v>
      </c>
      <c r="AJ199" s="113">
        <v>-900000</v>
      </c>
      <c r="AK199" s="99">
        <v>1</v>
      </c>
      <c r="AL199" s="20">
        <f t="shared" si="58"/>
        <v>130</v>
      </c>
      <c r="AM199" s="117">
        <f t="shared" si="59"/>
        <v>-117000000</v>
      </c>
      <c r="AN199" s="20"/>
    </row>
    <row r="200" spans="7:45">
      <c r="G200" s="99" t="s">
        <v>749</v>
      </c>
      <c r="H200" s="99">
        <v>200</v>
      </c>
      <c r="I200" s="99" t="s">
        <v>5603</v>
      </c>
      <c r="P200" s="114"/>
      <c r="Q200" s="213"/>
      <c r="R200" s="213" t="s">
        <v>991</v>
      </c>
      <c r="S200" s="113">
        <v>3000000</v>
      </c>
      <c r="T200" s="213" t="s">
        <v>4657</v>
      </c>
      <c r="U200" s="213">
        <v>8991</v>
      </c>
      <c r="V200" s="113">
        <v>238.64867000000001</v>
      </c>
      <c r="W200" s="113">
        <f t="shared" si="53"/>
        <v>2145690.19197</v>
      </c>
      <c r="X200" s="99" t="s">
        <v>452</v>
      </c>
      <c r="AH200" s="99">
        <v>180</v>
      </c>
      <c r="AI200" s="113" t="s">
        <v>989</v>
      </c>
      <c r="AJ200" s="113">
        <v>-3500000</v>
      </c>
      <c r="AK200" s="99">
        <v>1</v>
      </c>
      <c r="AL200" s="20">
        <f t="shared" si="58"/>
        <v>129</v>
      </c>
      <c r="AM200" s="117">
        <f t="shared" si="59"/>
        <v>-451500000</v>
      </c>
      <c r="AN200" s="20"/>
      <c r="AR200" t="s">
        <v>25</v>
      </c>
    </row>
    <row r="201" spans="7:45">
      <c r="G201" s="99" t="s">
        <v>5554</v>
      </c>
      <c r="H201" s="99">
        <v>200</v>
      </c>
      <c r="I201" s="99" t="s">
        <v>5667</v>
      </c>
      <c r="P201" s="114"/>
      <c r="Q201" s="213"/>
      <c r="R201" s="213" t="s">
        <v>4629</v>
      </c>
      <c r="S201" s="113">
        <v>3000000</v>
      </c>
      <c r="T201" s="213" t="s">
        <v>4668</v>
      </c>
      <c r="U201" s="213">
        <v>18170</v>
      </c>
      <c r="V201" s="113">
        <v>240.48475999999999</v>
      </c>
      <c r="W201" s="113">
        <f t="shared" si="53"/>
        <v>4369608.0892000003</v>
      </c>
      <c r="X201" s="99" t="s">
        <v>749</v>
      </c>
      <c r="Z201" t="s">
        <v>25</v>
      </c>
      <c r="AH201" s="99">
        <v>181</v>
      </c>
      <c r="AI201" s="113" t="s">
        <v>4270</v>
      </c>
      <c r="AJ201" s="113">
        <v>-1600000</v>
      </c>
      <c r="AK201" s="99">
        <v>1</v>
      </c>
      <c r="AL201" s="20">
        <f t="shared" si="58"/>
        <v>128</v>
      </c>
      <c r="AM201" s="117">
        <f t="shared" si="59"/>
        <v>-204800000</v>
      </c>
      <c r="AN201" s="20"/>
      <c r="AQ201" t="s">
        <v>25</v>
      </c>
    </row>
    <row r="202" spans="7:45">
      <c r="G202" s="99" t="s">
        <v>1083</v>
      </c>
      <c r="H202" s="99">
        <v>200</v>
      </c>
      <c r="I202" s="99" t="s">
        <v>5604</v>
      </c>
      <c r="P202" s="114"/>
      <c r="Q202" s="213" t="s">
        <v>4802</v>
      </c>
      <c r="R202" s="213" t="s">
        <v>4797</v>
      </c>
      <c r="S202" s="113">
        <v>-800000</v>
      </c>
      <c r="T202" s="213" t="s">
        <v>4668</v>
      </c>
      <c r="U202" s="213">
        <v>18170</v>
      </c>
      <c r="V202" s="113">
        <v>240.48475999999999</v>
      </c>
      <c r="W202" s="113">
        <f t="shared" si="53"/>
        <v>4369608.0892000003</v>
      </c>
      <c r="X202" s="99" t="s">
        <v>452</v>
      </c>
      <c r="AH202" s="99">
        <v>182</v>
      </c>
      <c r="AI202" s="113" t="s">
        <v>5217</v>
      </c>
      <c r="AJ202" s="113">
        <v>-800000</v>
      </c>
      <c r="AK202" s="99">
        <v>7</v>
      </c>
      <c r="AL202" s="20">
        <f t="shared" si="58"/>
        <v>127</v>
      </c>
      <c r="AM202" s="117">
        <f t="shared" si="59"/>
        <v>-101600000</v>
      </c>
      <c r="AN202" s="20"/>
    </row>
    <row r="203" spans="7:45">
      <c r="G203" s="99"/>
      <c r="H203" s="99"/>
      <c r="I203" s="99"/>
      <c r="P203" s="114"/>
      <c r="Q203" s="213" t="s">
        <v>4803</v>
      </c>
      <c r="R203" s="213" t="s">
        <v>4797</v>
      </c>
      <c r="S203" s="113">
        <v>-900000</v>
      </c>
      <c r="T203" s="213" t="s">
        <v>4670</v>
      </c>
      <c r="U203" s="213">
        <v>36797</v>
      </c>
      <c r="V203" s="113">
        <v>239.0822</v>
      </c>
      <c r="W203" s="113">
        <f t="shared" si="53"/>
        <v>8797507.7134000007</v>
      </c>
      <c r="X203" s="99" t="s">
        <v>749</v>
      </c>
      <c r="Y203" s="122" t="s">
        <v>25</v>
      </c>
      <c r="AH203" s="99">
        <v>183</v>
      </c>
      <c r="AI203" s="113" t="s">
        <v>5226</v>
      </c>
      <c r="AJ203" s="113">
        <v>50000</v>
      </c>
      <c r="AK203" s="99">
        <v>2</v>
      </c>
      <c r="AL203" s="20">
        <f t="shared" si="58"/>
        <v>120</v>
      </c>
      <c r="AM203" s="117">
        <f t="shared" si="59"/>
        <v>6000000</v>
      </c>
      <c r="AN203" s="20"/>
    </row>
    <row r="204" spans="7:45">
      <c r="G204" s="99"/>
      <c r="H204" s="99"/>
      <c r="I204" s="99"/>
      <c r="K204" t="s">
        <v>25</v>
      </c>
      <c r="M204" t="s">
        <v>25</v>
      </c>
      <c r="P204" s="114"/>
      <c r="Q204" s="213" t="s">
        <v>4803</v>
      </c>
      <c r="R204" s="213" t="s">
        <v>978</v>
      </c>
      <c r="S204" s="113">
        <v>-1100000</v>
      </c>
      <c r="T204" s="213" t="s">
        <v>4670</v>
      </c>
      <c r="U204" s="213">
        <v>36797</v>
      </c>
      <c r="V204" s="113">
        <v>239.0822</v>
      </c>
      <c r="W204" s="113">
        <f t="shared" si="53"/>
        <v>8797507.7134000007</v>
      </c>
      <c r="X204" s="99" t="s">
        <v>452</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90" t="s">
        <v>1083</v>
      </c>
      <c r="R205" s="190" t="s">
        <v>4826</v>
      </c>
      <c r="S205" s="196">
        <v>30000000</v>
      </c>
      <c r="T205" s="213" t="s">
        <v>4679</v>
      </c>
      <c r="U205" s="213">
        <v>28066</v>
      </c>
      <c r="V205" s="113">
        <v>237.56970000000001</v>
      </c>
      <c r="W205" s="113">
        <f t="shared" si="53"/>
        <v>6667631.2002000008</v>
      </c>
      <c r="X205" s="99" t="s">
        <v>749</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P206" s="114"/>
      <c r="Q206" s="19" t="s">
        <v>4910</v>
      </c>
      <c r="R206" s="19" t="s">
        <v>4908</v>
      </c>
      <c r="S206" s="117">
        <v>2000000</v>
      </c>
      <c r="T206" s="213" t="s">
        <v>4679</v>
      </c>
      <c r="U206" s="213">
        <v>28066</v>
      </c>
      <c r="V206" s="113">
        <v>237.56970000000001</v>
      </c>
      <c r="W206" s="113">
        <f t="shared" si="53"/>
        <v>6667631.2002000008</v>
      </c>
      <c r="X206" s="99" t="s">
        <v>452</v>
      </c>
      <c r="AH206" s="99">
        <v>186</v>
      </c>
      <c r="AI206" s="113" t="s">
        <v>5201</v>
      </c>
      <c r="AJ206" s="113">
        <v>3000000</v>
      </c>
      <c r="AK206" s="99">
        <v>1</v>
      </c>
      <c r="AL206" s="20">
        <f t="shared" si="60"/>
        <v>110</v>
      </c>
      <c r="AM206" s="117">
        <f t="shared" si="61"/>
        <v>330000000</v>
      </c>
      <c r="AN206" s="20"/>
    </row>
    <row r="207" spans="7:45">
      <c r="P207" s="114"/>
      <c r="Q207" s="189" t="s">
        <v>4935</v>
      </c>
      <c r="R207" s="189" t="s">
        <v>4934</v>
      </c>
      <c r="S207" s="188">
        <v>480105</v>
      </c>
      <c r="T207" s="213" t="s">
        <v>3680</v>
      </c>
      <c r="U207" s="213">
        <v>37457</v>
      </c>
      <c r="V207" s="113">
        <v>239.77</v>
      </c>
      <c r="W207" s="113">
        <f t="shared" si="53"/>
        <v>8981064.8900000006</v>
      </c>
      <c r="X207" s="99" t="s">
        <v>749</v>
      </c>
      <c r="AH207" s="99">
        <v>187</v>
      </c>
      <c r="AI207" s="113" t="s">
        <v>5241</v>
      </c>
      <c r="AJ207" s="113">
        <v>500000</v>
      </c>
      <c r="AK207" s="99">
        <v>23</v>
      </c>
      <c r="AL207" s="20">
        <f t="shared" si="60"/>
        <v>109</v>
      </c>
      <c r="AM207" s="117">
        <f t="shared" si="61"/>
        <v>54500000</v>
      </c>
      <c r="AN207" s="20"/>
      <c r="AR207" t="s">
        <v>25</v>
      </c>
    </row>
    <row r="208" spans="7:45">
      <c r="G208" s="99" t="s">
        <v>180</v>
      </c>
      <c r="H208" s="99" t="s">
        <v>5630</v>
      </c>
      <c r="I208" t="s">
        <v>5623</v>
      </c>
      <c r="Q208" s="189"/>
      <c r="R208" s="189" t="s">
        <v>4979</v>
      </c>
      <c r="S208" s="188">
        <v>30500000</v>
      </c>
      <c r="T208" s="213" t="s">
        <v>3680</v>
      </c>
      <c r="U208" s="213">
        <v>37457</v>
      </c>
      <c r="V208" s="113">
        <v>239.77</v>
      </c>
      <c r="W208" s="113">
        <f t="shared" si="53"/>
        <v>8981064.8900000006</v>
      </c>
      <c r="X208" s="99" t="s">
        <v>452</v>
      </c>
      <c r="AH208" s="99">
        <v>188</v>
      </c>
      <c r="AI208" s="113" t="s">
        <v>5265</v>
      </c>
      <c r="AJ208" s="113">
        <v>101268</v>
      </c>
      <c r="AK208" s="99">
        <v>1</v>
      </c>
      <c r="AL208" s="20">
        <f t="shared" si="60"/>
        <v>86</v>
      </c>
      <c r="AM208" s="117">
        <f t="shared" si="61"/>
        <v>8709048</v>
      </c>
      <c r="AN208" s="20"/>
      <c r="AR208" t="s">
        <v>25</v>
      </c>
    </row>
    <row r="209" spans="7:46">
      <c r="G209" s="99" t="s">
        <v>5578</v>
      </c>
      <c r="H209" s="1">
        <v>30000000</v>
      </c>
      <c r="I209" t="s">
        <v>5624</v>
      </c>
      <c r="O209" t="s">
        <v>25</v>
      </c>
      <c r="P209" s="114"/>
      <c r="Q209" s="19" t="s">
        <v>5010</v>
      </c>
      <c r="R209" s="19" t="s">
        <v>5005</v>
      </c>
      <c r="S209" s="117">
        <v>-400000</v>
      </c>
      <c r="T209" s="213" t="s">
        <v>4691</v>
      </c>
      <c r="U209" s="213">
        <v>38412</v>
      </c>
      <c r="V209" s="113">
        <v>239.03</v>
      </c>
      <c r="W209" s="113">
        <f t="shared" si="53"/>
        <v>9181620.3599999994</v>
      </c>
      <c r="X209" s="99" t="s">
        <v>749</v>
      </c>
      <c r="AH209" s="99">
        <v>189</v>
      </c>
      <c r="AI209" s="113" t="s">
        <v>5268</v>
      </c>
      <c r="AJ209" s="113">
        <v>101000</v>
      </c>
      <c r="AK209" s="99">
        <v>34</v>
      </c>
      <c r="AL209" s="20">
        <f t="shared" si="60"/>
        <v>85</v>
      </c>
      <c r="AM209" s="117">
        <f t="shared" si="61"/>
        <v>8585000</v>
      </c>
      <c r="AN209" s="20"/>
      <c r="AP209" t="s">
        <v>25</v>
      </c>
      <c r="AT209" s="96" t="s">
        <v>25</v>
      </c>
    </row>
    <row r="210" spans="7:46">
      <c r="G210" s="99" t="s">
        <v>5579</v>
      </c>
      <c r="H210" s="1">
        <v>550000</v>
      </c>
      <c r="I210" t="s">
        <v>5625</v>
      </c>
      <c r="P210" s="114"/>
      <c r="Q210" s="189" t="s">
        <v>5123</v>
      </c>
      <c r="R210" s="189" t="s">
        <v>5040</v>
      </c>
      <c r="S210" s="188">
        <v>-349550</v>
      </c>
      <c r="T210" s="213" t="s">
        <v>4691</v>
      </c>
      <c r="U210" s="213">
        <v>38412</v>
      </c>
      <c r="V210" s="113">
        <v>239.03</v>
      </c>
      <c r="W210" s="113">
        <f t="shared" si="53"/>
        <v>9181620.3599999994</v>
      </c>
      <c r="X210" s="99" t="s">
        <v>452</v>
      </c>
      <c r="Y210" s="8" t="s">
        <v>25</v>
      </c>
      <c r="Z210" t="s">
        <v>25</v>
      </c>
      <c r="AH210" s="99">
        <v>190</v>
      </c>
      <c r="AI210" s="113" t="s">
        <v>5293</v>
      </c>
      <c r="AJ210" s="113">
        <v>-488602</v>
      </c>
      <c r="AK210" s="99">
        <v>5</v>
      </c>
      <c r="AL210" s="20">
        <f t="shared" si="60"/>
        <v>51</v>
      </c>
      <c r="AM210" s="117">
        <f t="shared" si="61"/>
        <v>-24918702</v>
      </c>
      <c r="AN210" s="20"/>
      <c r="AR210" t="s">
        <v>25</v>
      </c>
    </row>
    <row r="211" spans="7:46">
      <c r="G211" s="99" t="s">
        <v>5580</v>
      </c>
      <c r="H211" s="1">
        <v>70370000</v>
      </c>
      <c r="I211" t="s">
        <v>4097</v>
      </c>
      <c r="Q211" s="189" t="s">
        <v>5153</v>
      </c>
      <c r="R211" s="189" t="s">
        <v>5150</v>
      </c>
      <c r="S211" s="188">
        <v>11500000</v>
      </c>
      <c r="T211" s="213" t="s">
        <v>4694</v>
      </c>
      <c r="U211" s="213">
        <v>49555</v>
      </c>
      <c r="V211" s="113">
        <v>238.345</v>
      </c>
      <c r="W211" s="113">
        <f t="shared" si="53"/>
        <v>11811186.475</v>
      </c>
      <c r="X211" s="99" t="s">
        <v>749</v>
      </c>
      <c r="AH211" s="99">
        <v>191</v>
      </c>
      <c r="AI211" s="113" t="s">
        <v>5307</v>
      </c>
      <c r="AJ211" s="113">
        <v>360000</v>
      </c>
      <c r="AK211" s="99">
        <v>10</v>
      </c>
      <c r="AL211" s="20">
        <f t="shared" si="60"/>
        <v>46</v>
      </c>
      <c r="AM211" s="117">
        <f t="shared" si="61"/>
        <v>16560000</v>
      </c>
      <c r="AN211" s="20"/>
      <c r="AR211" t="s">
        <v>25</v>
      </c>
    </row>
    <row r="212" spans="7:46">
      <c r="G212" s="99" t="s">
        <v>5584</v>
      </c>
      <c r="H212" s="1">
        <v>1215000</v>
      </c>
      <c r="I212" t="s">
        <v>5626</v>
      </c>
      <c r="P212" s="114"/>
      <c r="Q212" s="189" t="s">
        <v>5182</v>
      </c>
      <c r="R212" s="189" t="s">
        <v>5181</v>
      </c>
      <c r="S212" s="188">
        <v>6000000</v>
      </c>
      <c r="T212" s="213" t="s">
        <v>4694</v>
      </c>
      <c r="U212" s="213">
        <v>49555</v>
      </c>
      <c r="V212" s="113">
        <v>238.345</v>
      </c>
      <c r="W212" s="113">
        <f t="shared" si="53"/>
        <v>11811186.475</v>
      </c>
      <c r="X212" s="99" t="s">
        <v>452</v>
      </c>
      <c r="AH212" s="99">
        <v>192</v>
      </c>
      <c r="AI212" s="113" t="s">
        <v>5319</v>
      </c>
      <c r="AJ212" s="113">
        <v>-3600000</v>
      </c>
      <c r="AK212" s="99">
        <v>4</v>
      </c>
      <c r="AL212" s="20">
        <f t="shared" si="60"/>
        <v>36</v>
      </c>
      <c r="AM212" s="117">
        <f t="shared" si="61"/>
        <v>-129600000</v>
      </c>
      <c r="AN212" s="20"/>
      <c r="AS212" t="s">
        <v>25</v>
      </c>
    </row>
    <row r="213" spans="7:46">
      <c r="G213" s="99" t="s">
        <v>5585</v>
      </c>
      <c r="H213" s="1">
        <v>15350000</v>
      </c>
      <c r="I213" t="s">
        <v>5627</v>
      </c>
      <c r="P213" s="114"/>
      <c r="Q213" s="189" t="s">
        <v>5184</v>
      </c>
      <c r="R213" s="189" t="s">
        <v>5183</v>
      </c>
      <c r="S213" s="188">
        <v>1500000</v>
      </c>
      <c r="T213" s="213" t="s">
        <v>4708</v>
      </c>
      <c r="U213" s="213">
        <v>160187</v>
      </c>
      <c r="V213" s="113">
        <v>257.49799999999999</v>
      </c>
      <c r="W213" s="113">
        <f t="shared" si="53"/>
        <v>41247832.126000002</v>
      </c>
      <c r="X213" s="99" t="s">
        <v>749</v>
      </c>
      <c r="AH213" s="99">
        <v>193</v>
      </c>
      <c r="AI213" s="113" t="s">
        <v>5329</v>
      </c>
      <c r="AJ213" s="113">
        <v>-1000000</v>
      </c>
      <c r="AK213" s="99">
        <v>5</v>
      </c>
      <c r="AL213" s="20">
        <f t="shared" si="60"/>
        <v>32</v>
      </c>
      <c r="AM213" s="117">
        <f t="shared" si="61"/>
        <v>-32000000</v>
      </c>
      <c r="AN213" s="20"/>
      <c r="AR213" t="s">
        <v>25</v>
      </c>
    </row>
    <row r="214" spans="7:46">
      <c r="G214" s="99" t="s">
        <v>5587</v>
      </c>
      <c r="H214" s="1">
        <v>70000</v>
      </c>
      <c r="I214" t="s">
        <v>5628</v>
      </c>
      <c r="Q214" s="19" t="s">
        <v>5010</v>
      </c>
      <c r="R214" s="19" t="s">
        <v>5191</v>
      </c>
      <c r="S214" s="117">
        <v>-200000</v>
      </c>
      <c r="T214" s="213" t="s">
        <v>4708</v>
      </c>
      <c r="U214" s="213">
        <v>160187</v>
      </c>
      <c r="V214" s="113">
        <v>257.49799999999999</v>
      </c>
      <c r="W214" s="113">
        <f t="shared" si="53"/>
        <v>41247832.126000002</v>
      </c>
      <c r="X214" s="99" t="s">
        <v>452</v>
      </c>
      <c r="AH214" s="99">
        <v>194</v>
      </c>
      <c r="AI214" s="113" t="s">
        <v>5335</v>
      </c>
      <c r="AJ214" s="113">
        <v>360000</v>
      </c>
      <c r="AK214" s="99">
        <v>2</v>
      </c>
      <c r="AL214" s="20">
        <f>AL215+AK214</f>
        <v>27</v>
      </c>
      <c r="AM214" s="117">
        <f t="shared" ref="AM214:AM219" si="62">AJ214*AL214</f>
        <v>9720000</v>
      </c>
      <c r="AN214" s="20"/>
      <c r="AQ214" t="s">
        <v>25</v>
      </c>
    </row>
    <row r="215" spans="7:46">
      <c r="G215" s="99" t="s">
        <v>5593</v>
      </c>
      <c r="H215" s="1">
        <v>800000</v>
      </c>
      <c r="I215" t="s">
        <v>5629</v>
      </c>
      <c r="P215" s="114"/>
      <c r="Q215" s="190" t="s">
        <v>5212</v>
      </c>
      <c r="R215" s="190" t="s">
        <v>5211</v>
      </c>
      <c r="S215" s="196">
        <v>1000000</v>
      </c>
      <c r="T215" s="213" t="s">
        <v>4715</v>
      </c>
      <c r="U215" s="213">
        <v>144401</v>
      </c>
      <c r="V215" s="113">
        <v>258.5061</v>
      </c>
      <c r="W215" s="113">
        <f t="shared" si="53"/>
        <v>37328539.346100003</v>
      </c>
      <c r="X215" s="99" t="s">
        <v>749</v>
      </c>
      <c r="AH215" s="99">
        <v>195</v>
      </c>
      <c r="AI215" s="113" t="s">
        <v>5340</v>
      </c>
      <c r="AJ215" s="113">
        <v>2000000</v>
      </c>
      <c r="AK215" s="99">
        <v>1</v>
      </c>
      <c r="AL215" s="20">
        <f>AL216+AK215</f>
        <v>25</v>
      </c>
      <c r="AM215" s="117">
        <f t="shared" si="62"/>
        <v>50000000</v>
      </c>
      <c r="AN215" s="20"/>
    </row>
    <row r="216" spans="7:46">
      <c r="G216" s="99" t="s">
        <v>5618</v>
      </c>
      <c r="H216" s="1">
        <v>1948000</v>
      </c>
      <c r="Q216" s="19" t="s">
        <v>5010</v>
      </c>
      <c r="R216" s="19" t="s">
        <v>5226</v>
      </c>
      <c r="S216" s="117">
        <v>-122000</v>
      </c>
      <c r="T216" s="213" t="s">
        <v>4715</v>
      </c>
      <c r="U216" s="213">
        <v>144401</v>
      </c>
      <c r="V216" s="113">
        <v>258.5061</v>
      </c>
      <c r="W216" s="113">
        <f t="shared" si="53"/>
        <v>37328539.346100003</v>
      </c>
      <c r="X216" s="99" t="s">
        <v>452</v>
      </c>
      <c r="AH216" s="99">
        <v>196</v>
      </c>
      <c r="AI216" s="113" t="s">
        <v>5343</v>
      </c>
      <c r="AJ216" s="113">
        <v>20000000</v>
      </c>
      <c r="AK216" s="99">
        <v>0</v>
      </c>
      <c r="AL216" s="20">
        <f>AL217+AK216</f>
        <v>24</v>
      </c>
      <c r="AM216" s="117">
        <f t="shared" si="62"/>
        <v>480000000</v>
      </c>
      <c r="AN216" s="20" t="s">
        <v>4723</v>
      </c>
      <c r="AR216" t="s">
        <v>25</v>
      </c>
    </row>
    <row r="217" spans="7:46">
      <c r="G217" s="99"/>
      <c r="H217" s="1"/>
      <c r="P217" t="s">
        <v>25</v>
      </c>
      <c r="Q217" s="19" t="s">
        <v>5010</v>
      </c>
      <c r="R217" s="19" t="s">
        <v>5234</v>
      </c>
      <c r="S217" s="117">
        <v>-700000</v>
      </c>
      <c r="T217" s="168" t="s">
        <v>4721</v>
      </c>
      <c r="U217" s="168">
        <v>196500</v>
      </c>
      <c r="V217" s="113">
        <v>254.452</v>
      </c>
      <c r="W217" s="113">
        <f t="shared" si="53"/>
        <v>49999818</v>
      </c>
      <c r="X217" s="99" t="s">
        <v>4725</v>
      </c>
      <c r="AH217" s="99">
        <v>197</v>
      </c>
      <c r="AI217" s="113" t="s">
        <v>5343</v>
      </c>
      <c r="AJ217" s="113">
        <v>-4700000</v>
      </c>
      <c r="AK217" s="99">
        <v>1</v>
      </c>
      <c r="AL217" s="20">
        <f>AL218+AK217</f>
        <v>24</v>
      </c>
      <c r="AM217" s="117">
        <f t="shared" si="62"/>
        <v>-112800000</v>
      </c>
      <c r="AN217" s="20"/>
    </row>
    <row r="218" spans="7:46">
      <c r="G218" s="99"/>
      <c r="H218" s="1"/>
      <c r="Q218" s="19" t="s">
        <v>5010</v>
      </c>
      <c r="R218" s="19" t="s">
        <v>5245</v>
      </c>
      <c r="S218" s="117">
        <v>-60000</v>
      </c>
      <c r="T218" s="213" t="s">
        <v>4721</v>
      </c>
      <c r="U218" s="213">
        <v>2561</v>
      </c>
      <c r="V218" s="113">
        <v>254.536</v>
      </c>
      <c r="W218" s="113">
        <f t="shared" si="53"/>
        <v>651866.696</v>
      </c>
      <c r="X218" s="99" t="s">
        <v>4726</v>
      </c>
      <c r="AH218" s="99">
        <v>198</v>
      </c>
      <c r="AI218" s="113" t="s">
        <v>5347</v>
      </c>
      <c r="AJ218" s="113">
        <v>3000000</v>
      </c>
      <c r="AK218" s="99">
        <v>4</v>
      </c>
      <c r="AL218" s="20">
        <f>AL219+AK218</f>
        <v>23</v>
      </c>
      <c r="AM218" s="117">
        <f t="shared" si="62"/>
        <v>69000000</v>
      </c>
      <c r="AN218" s="20"/>
      <c r="AS218" t="s">
        <v>25</v>
      </c>
    </row>
    <row r="219" spans="7:46">
      <c r="G219" s="99"/>
      <c r="H219" s="1"/>
      <c r="P219" s="114"/>
      <c r="Q219" s="19" t="s">
        <v>4434</v>
      </c>
      <c r="R219" s="19" t="s">
        <v>5307</v>
      </c>
      <c r="S219" s="117">
        <v>700000</v>
      </c>
      <c r="T219" s="213" t="s">
        <v>4769</v>
      </c>
      <c r="U219" s="213">
        <v>-11795</v>
      </c>
      <c r="V219" s="113">
        <v>254.334</v>
      </c>
      <c r="W219" s="113">
        <f t="shared" si="53"/>
        <v>-2999869.5300000003</v>
      </c>
      <c r="X219" s="99" t="s">
        <v>4770</v>
      </c>
      <c r="AH219" s="99">
        <v>199</v>
      </c>
      <c r="AI219" s="113" t="s">
        <v>5350</v>
      </c>
      <c r="AJ219" s="113">
        <v>1500000</v>
      </c>
      <c r="AK219" s="99">
        <v>1</v>
      </c>
      <c r="AL219" s="20">
        <f>AL226+AK219</f>
        <v>19</v>
      </c>
      <c r="AM219" s="117">
        <f t="shared" si="62"/>
        <v>28500000</v>
      </c>
      <c r="AN219" s="20"/>
    </row>
    <row r="220" spans="7:46">
      <c r="G220" s="99" t="s">
        <v>6</v>
      </c>
      <c r="H220" s="1">
        <f>SUM(H209:H219)</f>
        <v>120303000</v>
      </c>
      <c r="P220" s="114"/>
      <c r="Q220" s="189" t="s">
        <v>5317</v>
      </c>
      <c r="R220" s="189" t="s">
        <v>5316</v>
      </c>
      <c r="S220" s="188">
        <v>-2000000</v>
      </c>
      <c r="T220" s="213" t="s">
        <v>4769</v>
      </c>
      <c r="U220" s="213">
        <v>11795</v>
      </c>
      <c r="V220" s="113">
        <v>254.334</v>
      </c>
      <c r="W220" s="113">
        <f t="shared" si="53"/>
        <v>2999869.5300000003</v>
      </c>
      <c r="X220" s="99" t="s">
        <v>4771</v>
      </c>
      <c r="AH220" s="99">
        <v>200</v>
      </c>
      <c r="AI220" s="113" t="s">
        <v>5353</v>
      </c>
      <c r="AJ220" s="113">
        <v>30000000</v>
      </c>
      <c r="AK220" s="99">
        <v>33</v>
      </c>
      <c r="AL220" s="20">
        <f t="shared" ref="AL220:AL229" si="63">AL235+AK220</f>
        <v>33</v>
      </c>
      <c r="AM220" s="117">
        <f t="shared" ref="AM220:AM225" si="64">AJ220*AL220</f>
        <v>990000000</v>
      </c>
      <c r="AN220" s="20"/>
    </row>
    <row r="221" spans="7:46">
      <c r="G221" s="132">
        <v>0.15</v>
      </c>
      <c r="H221" s="1">
        <f>H220*0.15</f>
        <v>18045450</v>
      </c>
      <c r="P221" s="114"/>
      <c r="Q221" s="189" t="s">
        <v>5325</v>
      </c>
      <c r="R221" s="189" t="s">
        <v>5319</v>
      </c>
      <c r="S221" s="188">
        <v>2000000</v>
      </c>
      <c r="T221" s="213" t="s">
        <v>4783</v>
      </c>
      <c r="U221" s="213">
        <v>260</v>
      </c>
      <c r="V221" s="113">
        <v>263.19</v>
      </c>
      <c r="W221" s="113">
        <f t="shared" si="53"/>
        <v>68429.399999999994</v>
      </c>
      <c r="X221" s="99" t="s">
        <v>452</v>
      </c>
      <c r="AH221" s="99">
        <v>201</v>
      </c>
      <c r="AI221" s="113" t="s">
        <v>5432</v>
      </c>
      <c r="AJ221" s="113">
        <v>3000000</v>
      </c>
      <c r="AK221" s="99">
        <v>1</v>
      </c>
      <c r="AL221" s="20">
        <f t="shared" si="63"/>
        <v>1</v>
      </c>
      <c r="AM221" s="117">
        <f t="shared" si="64"/>
        <v>3000000</v>
      </c>
      <c r="AN221" s="20"/>
    </row>
    <row r="222" spans="7:46">
      <c r="P222" s="114"/>
      <c r="Q222" s="189" t="s">
        <v>1083</v>
      </c>
      <c r="R222" s="189" t="s">
        <v>5332</v>
      </c>
      <c r="S222" s="188">
        <v>40000000</v>
      </c>
      <c r="T222" s="213" t="s">
        <v>4792</v>
      </c>
      <c r="U222" s="213">
        <v>15257</v>
      </c>
      <c r="V222" s="113">
        <v>262.19018</v>
      </c>
      <c r="W222" s="113">
        <f t="shared" si="53"/>
        <v>4000235.57626</v>
      </c>
      <c r="X222" s="99" t="s">
        <v>452</v>
      </c>
      <c r="AH222" s="99">
        <v>202</v>
      </c>
      <c r="AI222" s="113" t="s">
        <v>5433</v>
      </c>
      <c r="AJ222" s="113">
        <v>7000000</v>
      </c>
      <c r="AK222" s="99">
        <v>4</v>
      </c>
      <c r="AL222" s="20">
        <f t="shared" si="63"/>
        <v>4</v>
      </c>
      <c r="AM222" s="117">
        <f t="shared" si="64"/>
        <v>28000000</v>
      </c>
      <c r="AN222" s="20"/>
    </row>
    <row r="223" spans="7:46">
      <c r="P223" s="114"/>
      <c r="Q223" s="19" t="s">
        <v>4434</v>
      </c>
      <c r="R223" s="19" t="s">
        <v>5337</v>
      </c>
      <c r="S223" s="117">
        <v>-800000</v>
      </c>
      <c r="T223" s="213" t="s">
        <v>4792</v>
      </c>
      <c r="U223" s="213">
        <v>8444</v>
      </c>
      <c r="V223" s="113">
        <v>266.43029999999999</v>
      </c>
      <c r="W223" s="113">
        <f t="shared" si="53"/>
        <v>2249737.4531999999</v>
      </c>
      <c r="X223" s="99" t="s">
        <v>452</v>
      </c>
      <c r="AH223" s="99">
        <v>203</v>
      </c>
      <c r="AI223" s="113" t="s">
        <v>5446</v>
      </c>
      <c r="AJ223" s="113">
        <v>8800000</v>
      </c>
      <c r="AK223" s="99">
        <v>2</v>
      </c>
      <c r="AL223" s="20">
        <f t="shared" si="63"/>
        <v>2</v>
      </c>
      <c r="AM223" s="117">
        <f t="shared" si="64"/>
        <v>17600000</v>
      </c>
      <c r="AN223" s="20"/>
    </row>
    <row r="224" spans="7:46">
      <c r="P224" s="114"/>
      <c r="Q224" s="213" t="s">
        <v>4434</v>
      </c>
      <c r="R224" s="213" t="s">
        <v>5428</v>
      </c>
      <c r="S224" s="117">
        <v>700000</v>
      </c>
      <c r="T224" s="213" t="s">
        <v>4797</v>
      </c>
      <c r="U224" s="213">
        <v>-6209</v>
      </c>
      <c r="V224" s="113">
        <v>273.79649999999998</v>
      </c>
      <c r="W224" s="113">
        <f t="shared" si="53"/>
        <v>-1700002.4685</v>
      </c>
      <c r="X224" s="99" t="s">
        <v>4808</v>
      </c>
      <c r="Z224" t="s">
        <v>25</v>
      </c>
      <c r="AH224" s="99">
        <v>204</v>
      </c>
      <c r="AI224" s="113" t="s">
        <v>5453</v>
      </c>
      <c r="AJ224" s="113">
        <v>40000000</v>
      </c>
      <c r="AK224" s="99">
        <v>8</v>
      </c>
      <c r="AL224" s="20">
        <f t="shared" si="63"/>
        <v>8</v>
      </c>
      <c r="AM224" s="117">
        <f t="shared" si="64"/>
        <v>320000000</v>
      </c>
      <c r="AN224" s="20" t="s">
        <v>4723</v>
      </c>
    </row>
    <row r="225" spans="10:45">
      <c r="P225" s="114"/>
      <c r="Q225" s="189" t="s">
        <v>5449</v>
      </c>
      <c r="R225" s="189" t="s">
        <v>5447</v>
      </c>
      <c r="S225" s="188">
        <v>-26000000</v>
      </c>
      <c r="T225" s="213" t="s">
        <v>4797</v>
      </c>
      <c r="U225" s="213">
        <v>-8014</v>
      </c>
      <c r="V225" s="113">
        <v>273.79649999999998</v>
      </c>
      <c r="W225" s="113">
        <f t="shared" si="53"/>
        <v>-2194205.1510000001</v>
      </c>
      <c r="X225" s="99" t="s">
        <v>749</v>
      </c>
      <c r="AH225" s="99">
        <v>205</v>
      </c>
      <c r="AI225" s="113" t="s">
        <v>5469</v>
      </c>
      <c r="AJ225" s="113">
        <v>400000</v>
      </c>
      <c r="AK225" s="99">
        <v>17</v>
      </c>
      <c r="AL225" s="20">
        <f t="shared" si="63"/>
        <v>17</v>
      </c>
      <c r="AM225" s="117">
        <f t="shared" si="64"/>
        <v>6800000</v>
      </c>
      <c r="AN225" s="20"/>
      <c r="AR225" t="s">
        <v>25</v>
      </c>
    </row>
    <row r="226" spans="10:45">
      <c r="J226" t="s">
        <v>25</v>
      </c>
      <c r="P226" s="114"/>
      <c r="Q226" s="189" t="s">
        <v>5449</v>
      </c>
      <c r="R226" s="189" t="s">
        <v>5453</v>
      </c>
      <c r="S226" s="188">
        <v>-95900000</v>
      </c>
      <c r="T226" s="213" t="s">
        <v>4806</v>
      </c>
      <c r="U226" s="213">
        <v>-9176</v>
      </c>
      <c r="V226" s="113">
        <v>273.79649999999998</v>
      </c>
      <c r="W226" s="113">
        <f t="shared" si="53"/>
        <v>-2512356.6839999999</v>
      </c>
      <c r="X226" s="99" t="s">
        <v>452</v>
      </c>
      <c r="Y226" t="s">
        <v>25</v>
      </c>
      <c r="AH226" s="99">
        <v>206</v>
      </c>
      <c r="AI226" s="113" t="s">
        <v>5492</v>
      </c>
      <c r="AJ226" s="113">
        <v>-20000000</v>
      </c>
      <c r="AK226" s="99">
        <v>18</v>
      </c>
      <c r="AL226" s="20">
        <f t="shared" si="63"/>
        <v>18</v>
      </c>
      <c r="AM226" s="117">
        <f t="shared" ref="AM226:AM229" si="65">AJ226*AL226</f>
        <v>-360000000</v>
      </c>
      <c r="AN226" s="20" t="s">
        <v>5035</v>
      </c>
    </row>
    <row r="227" spans="10:45">
      <c r="P227" s="114"/>
      <c r="Q227" s="189" t="s">
        <v>5449</v>
      </c>
      <c r="R227" s="189" t="s">
        <v>5454</v>
      </c>
      <c r="S227" s="188">
        <v>-28950000</v>
      </c>
      <c r="T227" s="213" t="s">
        <v>4806</v>
      </c>
      <c r="U227" s="213">
        <v>1087</v>
      </c>
      <c r="V227" s="113">
        <v>273.79649999999998</v>
      </c>
      <c r="W227" s="113">
        <f t="shared" si="53"/>
        <v>297616.79550000001</v>
      </c>
      <c r="X227" s="99" t="s">
        <v>452</v>
      </c>
      <c r="AH227" s="99">
        <v>207</v>
      </c>
      <c r="AI227" s="113" t="s">
        <v>5518</v>
      </c>
      <c r="AJ227" s="113">
        <v>3006000</v>
      </c>
      <c r="AK227" s="99">
        <v>19</v>
      </c>
      <c r="AL227" s="20">
        <f t="shared" si="63"/>
        <v>19</v>
      </c>
      <c r="AM227" s="117">
        <f t="shared" si="65"/>
        <v>57114000</v>
      </c>
      <c r="AN227" s="20"/>
    </row>
    <row r="228" spans="10:45">
      <c r="Q228" s="172" t="s">
        <v>5465</v>
      </c>
      <c r="R228" s="172" t="s">
        <v>5463</v>
      </c>
      <c r="S228" s="170">
        <v>2000000</v>
      </c>
      <c r="T228" s="213" t="s">
        <v>978</v>
      </c>
      <c r="U228" s="213">
        <v>-4017</v>
      </c>
      <c r="V228" s="113">
        <v>273.79649999999998</v>
      </c>
      <c r="W228" s="113">
        <f t="shared" si="53"/>
        <v>-1099840.5404999999</v>
      </c>
      <c r="X228" s="99" t="s">
        <v>4434</v>
      </c>
      <c r="Y228" s="96"/>
      <c r="AH228" s="99">
        <v>208</v>
      </c>
      <c r="AI228" s="113" t="s">
        <v>5394</v>
      </c>
      <c r="AJ228" s="113">
        <v>-130382924</v>
      </c>
      <c r="AK228" s="99">
        <v>0</v>
      </c>
      <c r="AL228" s="20">
        <f t="shared" si="63"/>
        <v>0</v>
      </c>
      <c r="AM228" s="117">
        <f t="shared" si="65"/>
        <v>0</v>
      </c>
      <c r="AN228" s="20" t="s">
        <v>5553</v>
      </c>
      <c r="AR228" t="s">
        <v>25</v>
      </c>
    </row>
    <row r="229" spans="10:45">
      <c r="Q229" s="213" t="s">
        <v>5471</v>
      </c>
      <c r="R229" s="213" t="s">
        <v>5469</v>
      </c>
      <c r="S229" s="113">
        <v>1896188</v>
      </c>
      <c r="T229" s="213" t="s">
        <v>978</v>
      </c>
      <c r="U229" s="213">
        <v>4017</v>
      </c>
      <c r="V229" s="113">
        <v>273.79649999999998</v>
      </c>
      <c r="W229" s="113">
        <f t="shared" si="53"/>
        <v>1099840.5404999999</v>
      </c>
      <c r="X229" s="99" t="s">
        <v>452</v>
      </c>
      <c r="Y229" t="s">
        <v>25</v>
      </c>
      <c r="AH229" s="99">
        <v>209</v>
      </c>
      <c r="AI229" s="113" t="s">
        <v>5394</v>
      </c>
      <c r="AJ229" s="113">
        <v>125000000</v>
      </c>
      <c r="AK229" s="99">
        <v>1</v>
      </c>
      <c r="AL229" s="20">
        <f t="shared" si="63"/>
        <v>1</v>
      </c>
      <c r="AM229" s="117">
        <f t="shared" si="65"/>
        <v>125000000</v>
      </c>
      <c r="AN229" s="20"/>
      <c r="AR229" t="s">
        <v>25</v>
      </c>
    </row>
    <row r="230" spans="10:45">
      <c r="P230" s="114" t="s">
        <v>25</v>
      </c>
      <c r="Q230" s="189" t="s">
        <v>5562</v>
      </c>
      <c r="R230" s="189" t="s">
        <v>5559</v>
      </c>
      <c r="S230" s="188">
        <v>0</v>
      </c>
      <c r="T230" s="213" t="s">
        <v>4813</v>
      </c>
      <c r="U230" s="213">
        <v>3137</v>
      </c>
      <c r="V230" s="113">
        <v>283.69110000000001</v>
      </c>
      <c r="W230" s="113">
        <f t="shared" si="53"/>
        <v>889938.98070000007</v>
      </c>
      <c r="X230" s="99" t="s">
        <v>452</v>
      </c>
      <c r="AH230" s="99">
        <v>210</v>
      </c>
      <c r="AI230" s="113" t="s">
        <v>5551</v>
      </c>
      <c r="AJ230" s="113">
        <v>7200000</v>
      </c>
      <c r="AK230" s="99">
        <v>15</v>
      </c>
      <c r="AL230" s="20">
        <f t="shared" ref="AL230:AL236" si="66">AL245+AK230</f>
        <v>15</v>
      </c>
      <c r="AM230" s="117">
        <f t="shared" ref="AM230:AM236" si="67">AJ230*AL230</f>
        <v>108000000</v>
      </c>
      <c r="AN230" s="20"/>
      <c r="AQ230" t="s">
        <v>25</v>
      </c>
      <c r="AS230" t="s">
        <v>25</v>
      </c>
    </row>
    <row r="231" spans="10:45">
      <c r="P231" s="114"/>
      <c r="Q231" s="213"/>
      <c r="R231" s="213"/>
      <c r="S231" s="113"/>
      <c r="T231" s="213" t="s">
        <v>4826</v>
      </c>
      <c r="U231" s="213">
        <v>101933</v>
      </c>
      <c r="V231" s="113">
        <v>294.30973999999998</v>
      </c>
      <c r="W231" s="113">
        <f t="shared" si="53"/>
        <v>29999874.727419998</v>
      </c>
      <c r="X231" s="99" t="s">
        <v>1083</v>
      </c>
      <c r="AH231" s="99">
        <v>211</v>
      </c>
      <c r="AI231" s="113" t="s">
        <v>5587</v>
      </c>
      <c r="AJ231" s="113">
        <v>2050000</v>
      </c>
      <c r="AK231" s="99">
        <v>7</v>
      </c>
      <c r="AL231" s="20">
        <f t="shared" si="66"/>
        <v>7</v>
      </c>
      <c r="AM231" s="117">
        <f t="shared" si="67"/>
        <v>14350000</v>
      </c>
      <c r="AN231" s="20"/>
      <c r="AR231" t="s">
        <v>25</v>
      </c>
      <c r="AS231" t="s">
        <v>25</v>
      </c>
    </row>
    <row r="232" spans="10:45">
      <c r="Q232" s="213"/>
      <c r="R232" s="213"/>
      <c r="S232" s="113">
        <f>SUM(S196:S230)</f>
        <v>-14005257</v>
      </c>
      <c r="T232" s="213" t="s">
        <v>4833</v>
      </c>
      <c r="U232" s="213">
        <v>3407</v>
      </c>
      <c r="V232" s="113">
        <v>293.43799999999999</v>
      </c>
      <c r="W232" s="113">
        <f t="shared" si="53"/>
        <v>999743.26599999995</v>
      </c>
      <c r="X232" s="99" t="s">
        <v>452</v>
      </c>
      <c r="AH232" s="99">
        <v>212</v>
      </c>
      <c r="AI232" s="113" t="s">
        <v>5619</v>
      </c>
      <c r="AJ232" s="113">
        <v>50000000</v>
      </c>
      <c r="AK232" s="99">
        <v>1</v>
      </c>
      <c r="AL232" s="20">
        <f t="shared" si="66"/>
        <v>1</v>
      </c>
      <c r="AM232" s="117">
        <f t="shared" si="67"/>
        <v>50000000</v>
      </c>
      <c r="AN232" s="20" t="s">
        <v>4723</v>
      </c>
    </row>
    <row r="233" spans="10:45">
      <c r="Q233" s="41"/>
      <c r="R233" s="213"/>
      <c r="S233" s="213" t="s">
        <v>6</v>
      </c>
      <c r="T233" s="213" t="s">
        <v>4834</v>
      </c>
      <c r="U233" s="213">
        <v>68796</v>
      </c>
      <c r="V233" s="113">
        <v>293.53250000000003</v>
      </c>
      <c r="W233" s="113">
        <f t="shared" si="53"/>
        <v>20193861.870000001</v>
      </c>
      <c r="X233" s="99" t="s">
        <v>749</v>
      </c>
      <c r="Y233" t="s">
        <v>25</v>
      </c>
      <c r="AH233" s="99"/>
      <c r="AI233" s="113"/>
      <c r="AJ233" s="113"/>
      <c r="AK233" s="99"/>
      <c r="AL233" s="20">
        <f t="shared" si="66"/>
        <v>0</v>
      </c>
      <c r="AM233" s="117">
        <f t="shared" si="67"/>
        <v>0</v>
      </c>
      <c r="AN233" s="20"/>
    </row>
    <row r="234" spans="10:45">
      <c r="Q234" s="96"/>
      <c r="T234" s="213" t="s">
        <v>4834</v>
      </c>
      <c r="U234" s="213">
        <v>154791</v>
      </c>
      <c r="V234" s="113">
        <v>293.53250000000003</v>
      </c>
      <c r="W234" s="113">
        <f t="shared" si="53"/>
        <v>45436189.207500003</v>
      </c>
      <c r="X234" s="99" t="s">
        <v>452</v>
      </c>
      <c r="AH234" s="99"/>
      <c r="AI234" s="113"/>
      <c r="AJ234" s="113"/>
      <c r="AK234" s="99"/>
      <c r="AL234" s="20">
        <f t="shared" si="66"/>
        <v>0</v>
      </c>
      <c r="AM234" s="117">
        <f t="shared" si="67"/>
        <v>0</v>
      </c>
      <c r="AN234" s="20"/>
    </row>
    <row r="235" spans="10:45">
      <c r="Q235" s="96" t="s">
        <v>25</v>
      </c>
      <c r="R235" s="96" t="s">
        <v>25</v>
      </c>
      <c r="T235" s="213" t="s">
        <v>4834</v>
      </c>
      <c r="U235" s="213">
        <v>-11923</v>
      </c>
      <c r="V235" s="113">
        <v>293.53250000000003</v>
      </c>
      <c r="W235" s="113">
        <f t="shared" si="53"/>
        <v>-3499787.9975000005</v>
      </c>
      <c r="X235" s="99" t="s">
        <v>452</v>
      </c>
      <c r="Z235" t="s">
        <v>25</v>
      </c>
      <c r="AA235" t="s">
        <v>25</v>
      </c>
      <c r="AH235" s="99"/>
      <c r="AI235" s="113"/>
      <c r="AJ235" s="113"/>
      <c r="AK235" s="99"/>
      <c r="AL235" s="20">
        <f t="shared" si="66"/>
        <v>0</v>
      </c>
      <c r="AM235" s="117">
        <f t="shared" si="67"/>
        <v>0</v>
      </c>
      <c r="AN235" s="20"/>
    </row>
    <row r="236" spans="10:45">
      <c r="Q236" s="96"/>
      <c r="R236" s="96" t="s">
        <v>25</v>
      </c>
      <c r="S236" t="s">
        <v>25</v>
      </c>
      <c r="T236" s="213" t="s">
        <v>4847</v>
      </c>
      <c r="U236" s="213">
        <v>8424</v>
      </c>
      <c r="V236" s="113">
        <v>299.15170000000001</v>
      </c>
      <c r="W236" s="113">
        <f t="shared" si="53"/>
        <v>2520053.9208</v>
      </c>
      <c r="X236" s="99" t="s">
        <v>452</v>
      </c>
      <c r="AH236" s="99"/>
      <c r="AI236" s="113"/>
      <c r="AJ236" s="113"/>
      <c r="AK236" s="99"/>
      <c r="AL236" s="20">
        <f t="shared" si="66"/>
        <v>0</v>
      </c>
      <c r="AM236" s="117">
        <f t="shared" si="67"/>
        <v>0</v>
      </c>
      <c r="AN236" s="20"/>
      <c r="AR236" t="s">
        <v>25</v>
      </c>
    </row>
    <row r="237" spans="10:45">
      <c r="S237" t="s">
        <v>25</v>
      </c>
      <c r="T237" s="213" t="s">
        <v>4882</v>
      </c>
      <c r="U237" s="213">
        <v>15943</v>
      </c>
      <c r="V237" s="113">
        <v>307.34415000000001</v>
      </c>
      <c r="W237" s="113">
        <f t="shared" si="53"/>
        <v>4899987.78345</v>
      </c>
      <c r="X237" s="99" t="s">
        <v>452</v>
      </c>
      <c r="Y237" t="s">
        <v>25</v>
      </c>
      <c r="AH237" s="99"/>
      <c r="AI237" s="99"/>
      <c r="AJ237" s="95">
        <f>SUM(AJ20:AJ236)</f>
        <v>634536801</v>
      </c>
      <c r="AK237" s="99"/>
      <c r="AL237" s="99"/>
      <c r="AM237" s="95">
        <f>SUM(AM20:AM236)</f>
        <v>232905551158</v>
      </c>
      <c r="AN237" s="95">
        <f>AM237*AN240/31</f>
        <v>125220542.6177544</v>
      </c>
      <c r="AS237" t="s">
        <v>25</v>
      </c>
    </row>
    <row r="238" spans="10:45">
      <c r="Q238" s="99" t="s">
        <v>749</v>
      </c>
      <c r="R238" s="99"/>
      <c r="T238" s="213" t="s">
        <v>4902</v>
      </c>
      <c r="U238" s="213">
        <v>3741</v>
      </c>
      <c r="V238" s="113">
        <v>307.34415000000001</v>
      </c>
      <c r="W238" s="113">
        <f t="shared" si="53"/>
        <v>1149774.4651500001</v>
      </c>
      <c r="X238" s="99" t="s">
        <v>452</v>
      </c>
      <c r="AH238" s="99"/>
      <c r="AI238" s="99"/>
      <c r="AJ238" s="99" t="s">
        <v>4055</v>
      </c>
      <c r="AK238" s="99"/>
      <c r="AL238" s="99"/>
      <c r="AM238" s="99" t="s">
        <v>284</v>
      </c>
      <c r="AN238" s="99" t="s">
        <v>940</v>
      </c>
      <c r="AR238" t="s">
        <v>25</v>
      </c>
    </row>
    <row r="239" spans="10:45">
      <c r="Q239" s="99" t="s">
        <v>4427</v>
      </c>
      <c r="R239" s="95">
        <v>172908000</v>
      </c>
      <c r="T239" s="213" t="s">
        <v>4908</v>
      </c>
      <c r="U239" s="213">
        <v>-6207</v>
      </c>
      <c r="V239" s="113">
        <v>322.214</v>
      </c>
      <c r="W239" s="113">
        <f t="shared" si="53"/>
        <v>-1999982.298</v>
      </c>
      <c r="X239" s="99" t="s">
        <v>749</v>
      </c>
      <c r="AH239" s="99"/>
      <c r="AI239" s="99"/>
      <c r="AJ239" s="99"/>
      <c r="AK239" s="99"/>
      <c r="AL239" s="99"/>
      <c r="AM239" s="99"/>
      <c r="AN239" s="99"/>
      <c r="AR239" t="s">
        <v>25</v>
      </c>
    </row>
    <row r="240" spans="10:45">
      <c r="Q240" s="99" t="s">
        <v>4462</v>
      </c>
      <c r="R240" s="95">
        <v>1400000</v>
      </c>
      <c r="T240" s="213" t="s">
        <v>4908</v>
      </c>
      <c r="U240" s="213">
        <v>6207</v>
      </c>
      <c r="V240" s="113">
        <v>322.214</v>
      </c>
      <c r="W240" s="113">
        <f t="shared" si="53"/>
        <v>1999982.298</v>
      </c>
      <c r="X240" s="99" t="s">
        <v>4434</v>
      </c>
      <c r="AH240" s="99"/>
      <c r="AI240" s="99"/>
      <c r="AJ240" s="99"/>
      <c r="AK240" s="99"/>
      <c r="AL240" s="99"/>
      <c r="AM240" s="99" t="s">
        <v>4056</v>
      </c>
      <c r="AN240" s="99">
        <v>1.6667000000000001E-2</v>
      </c>
    </row>
    <row r="241" spans="15:43">
      <c r="Q241" s="99" t="s">
        <v>4222</v>
      </c>
      <c r="R241" s="95">
        <v>247393</v>
      </c>
      <c r="S241" t="s">
        <v>25</v>
      </c>
      <c r="T241" s="213" t="s">
        <v>4854</v>
      </c>
      <c r="U241" s="213">
        <v>776</v>
      </c>
      <c r="V241" s="113">
        <v>322.214</v>
      </c>
      <c r="W241" s="113">
        <f t="shared" si="53"/>
        <v>250038.06400000001</v>
      </c>
      <c r="X241" s="99" t="s">
        <v>452</v>
      </c>
      <c r="AH241" s="99"/>
      <c r="AI241" s="99"/>
      <c r="AJ241" s="99"/>
      <c r="AK241" s="99"/>
      <c r="AL241" s="99"/>
      <c r="AM241" s="99"/>
      <c r="AN241" s="99"/>
    </row>
    <row r="242" spans="15:43">
      <c r="Q242" s="99" t="s">
        <v>4221</v>
      </c>
      <c r="R242" s="95">
        <v>6780000</v>
      </c>
      <c r="T242" s="213" t="s">
        <v>4934</v>
      </c>
      <c r="U242" s="213">
        <v>1524</v>
      </c>
      <c r="V242" s="113">
        <v>314.95999999999998</v>
      </c>
      <c r="W242" s="113">
        <f t="shared" si="53"/>
        <v>479999.04</v>
      </c>
      <c r="X242" s="99" t="s">
        <v>1083</v>
      </c>
      <c r="AH242" s="99"/>
      <c r="AI242" s="99" t="s">
        <v>4057</v>
      </c>
      <c r="AJ242" s="95">
        <f>AJ237+AN237</f>
        <v>759757343.61775446</v>
      </c>
      <c r="AK242" s="99"/>
      <c r="AL242" s="99"/>
      <c r="AM242" s="99"/>
      <c r="AN242" s="99"/>
    </row>
    <row r="243" spans="15:43">
      <c r="Q243" s="99" t="s">
        <v>4567</v>
      </c>
      <c r="R243" s="95">
        <v>-4000000</v>
      </c>
      <c r="T243" s="213" t="s">
        <v>4943</v>
      </c>
      <c r="U243" s="213">
        <v>4435</v>
      </c>
      <c r="V243" s="113">
        <v>316.4375</v>
      </c>
      <c r="W243" s="113">
        <f t="shared" si="53"/>
        <v>1403400.3125</v>
      </c>
      <c r="X243" s="99" t="s">
        <v>452</v>
      </c>
      <c r="AI243" t="s">
        <v>4060</v>
      </c>
      <c r="AJ243" s="114">
        <f>SUM(N42:N54)</f>
        <v>4415629707.1000004</v>
      </c>
      <c r="AM243" t="s">
        <v>25</v>
      </c>
    </row>
    <row r="244" spans="15:43">
      <c r="Q244" s="99" t="s">
        <v>4598</v>
      </c>
      <c r="R244" s="95">
        <v>16727037</v>
      </c>
      <c r="T244" s="213" t="s">
        <v>4946</v>
      </c>
      <c r="U244" s="213">
        <v>624</v>
      </c>
      <c r="V244" s="113">
        <v>320.5</v>
      </c>
      <c r="W244" s="113">
        <f t="shared" si="53"/>
        <v>199992</v>
      </c>
      <c r="X244" s="99" t="s">
        <v>452</v>
      </c>
      <c r="AI244" t="s">
        <v>4132</v>
      </c>
      <c r="AJ244" s="114">
        <f>AJ243-AJ237</f>
        <v>3781092906.1000004</v>
      </c>
      <c r="AM244" t="s">
        <v>25</v>
      </c>
    </row>
    <row r="245" spans="15:43">
      <c r="Q245" s="99" t="s">
        <v>4603</v>
      </c>
      <c r="R245" s="95">
        <v>46460683</v>
      </c>
      <c r="S245" t="s">
        <v>25</v>
      </c>
      <c r="T245" s="213" t="s">
        <v>4951</v>
      </c>
      <c r="U245" s="213">
        <v>1086</v>
      </c>
      <c r="V245" s="113">
        <v>317.55</v>
      </c>
      <c r="W245" s="113">
        <f t="shared" si="53"/>
        <v>344859.3</v>
      </c>
      <c r="X245" s="99" t="s">
        <v>452</v>
      </c>
      <c r="AI245" t="s">
        <v>940</v>
      </c>
      <c r="AJ245" s="114">
        <f>AN237</f>
        <v>125220542.6177544</v>
      </c>
      <c r="AN245" t="s">
        <v>25</v>
      </c>
    </row>
    <row r="246" spans="15:43">
      <c r="Q246" s="99" t="s">
        <v>4604</v>
      </c>
      <c r="R246" s="95">
        <v>19663646</v>
      </c>
      <c r="T246" s="213" t="s">
        <v>4956</v>
      </c>
      <c r="U246" s="213">
        <v>2820</v>
      </c>
      <c r="V246" s="113">
        <v>319.1096</v>
      </c>
      <c r="W246" s="113">
        <f t="shared" si="53"/>
        <v>899889.07200000004</v>
      </c>
      <c r="X246" s="99" t="s">
        <v>452</v>
      </c>
      <c r="AI246" t="s">
        <v>4061</v>
      </c>
      <c r="AJ246" s="114">
        <f>AJ243-AJ242</f>
        <v>3655872363.4822459</v>
      </c>
      <c r="AN246" t="s">
        <v>25</v>
      </c>
    </row>
    <row r="247" spans="15:43">
      <c r="Q247" s="99" t="s">
        <v>4627</v>
      </c>
      <c r="R247" s="95">
        <v>4374525</v>
      </c>
      <c r="T247" s="213" t="s">
        <v>4959</v>
      </c>
      <c r="U247" s="213">
        <v>1145</v>
      </c>
      <c r="V247" s="113">
        <v>325.44</v>
      </c>
      <c r="W247" s="113">
        <f t="shared" si="53"/>
        <v>372628.8</v>
      </c>
      <c r="X247" s="99" t="s">
        <v>452</v>
      </c>
      <c r="AM247" t="s">
        <v>25</v>
      </c>
    </row>
    <row r="248" spans="15:43">
      <c r="P248" t="s">
        <v>25</v>
      </c>
      <c r="Q248" s="99" t="s">
        <v>4638</v>
      </c>
      <c r="R248" s="95">
        <v>6550580</v>
      </c>
      <c r="T248" s="213" t="s">
        <v>4969</v>
      </c>
      <c r="U248" s="213">
        <v>20153</v>
      </c>
      <c r="V248" s="113">
        <v>322</v>
      </c>
      <c r="W248" s="113">
        <f t="shared" si="53"/>
        <v>6489266</v>
      </c>
      <c r="X248" s="99" t="s">
        <v>452</v>
      </c>
      <c r="AJ248" t="s">
        <v>25</v>
      </c>
    </row>
    <row r="249" spans="15:43">
      <c r="Q249" s="99" t="s">
        <v>4640</v>
      </c>
      <c r="R249" s="95">
        <v>6650895</v>
      </c>
      <c r="T249" s="213" t="s">
        <v>4979</v>
      </c>
      <c r="U249" s="213">
        <v>93720</v>
      </c>
      <c r="V249" s="113">
        <v>325.435</v>
      </c>
      <c r="W249" s="113">
        <f t="shared" si="53"/>
        <v>30499768.199999999</v>
      </c>
      <c r="X249" s="99" t="s">
        <v>1083</v>
      </c>
      <c r="AP249" t="s">
        <v>25</v>
      </c>
    </row>
    <row r="250" spans="15:43">
      <c r="Q250" s="99" t="s">
        <v>4657</v>
      </c>
      <c r="R250" s="95">
        <v>2145814</v>
      </c>
      <c r="T250" s="213" t="s">
        <v>4979</v>
      </c>
      <c r="U250" s="213">
        <v>20895</v>
      </c>
      <c r="V250" s="113">
        <v>325.435</v>
      </c>
      <c r="W250" s="113">
        <f t="shared" si="53"/>
        <v>6799964.3250000002</v>
      </c>
      <c r="X250" s="99" t="s">
        <v>749</v>
      </c>
      <c r="Y250" t="s">
        <v>25</v>
      </c>
    </row>
    <row r="251" spans="15:43">
      <c r="Q251" s="99" t="s">
        <v>4668</v>
      </c>
      <c r="R251" s="95">
        <v>4369730</v>
      </c>
      <c r="T251" s="213" t="s">
        <v>4988</v>
      </c>
      <c r="U251" s="213">
        <v>2611</v>
      </c>
      <c r="V251" s="113">
        <v>325.435</v>
      </c>
      <c r="W251" s="113">
        <f t="shared" si="53"/>
        <v>849710.78500000003</v>
      </c>
      <c r="X251" s="99" t="s">
        <v>749</v>
      </c>
      <c r="Y251" t="s">
        <v>25</v>
      </c>
    </row>
    <row r="252" spans="15:43">
      <c r="Q252" s="99" t="s">
        <v>4670</v>
      </c>
      <c r="R252" s="95">
        <v>8739459</v>
      </c>
      <c r="S252" t="s">
        <v>25</v>
      </c>
      <c r="T252" s="213" t="s">
        <v>4997</v>
      </c>
      <c r="U252" s="213">
        <v>6750</v>
      </c>
      <c r="V252" s="113">
        <v>339.3</v>
      </c>
      <c r="W252" s="113">
        <f t="shared" si="53"/>
        <v>2290275</v>
      </c>
      <c r="X252" s="99" t="s">
        <v>749</v>
      </c>
    </row>
    <row r="253" spans="15:43">
      <c r="O253" t="s">
        <v>25</v>
      </c>
      <c r="Q253" s="99" t="s">
        <v>4679</v>
      </c>
      <c r="R253" s="95">
        <v>6667654</v>
      </c>
      <c r="T253" s="213" t="s">
        <v>5005</v>
      </c>
      <c r="U253" s="213">
        <v>1850</v>
      </c>
      <c r="V253" s="113">
        <v>334.10050000000001</v>
      </c>
      <c r="W253" s="113">
        <f t="shared" si="53"/>
        <v>618085.92500000005</v>
      </c>
      <c r="X253" s="99" t="s">
        <v>452</v>
      </c>
      <c r="AH253" s="99" t="s">
        <v>3637</v>
      </c>
      <c r="AI253" s="99" t="s">
        <v>180</v>
      </c>
      <c r="AJ253" s="99" t="s">
        <v>267</v>
      </c>
      <c r="AK253" s="99" t="s">
        <v>4054</v>
      </c>
      <c r="AL253" s="99" t="s">
        <v>4046</v>
      </c>
      <c r="AM253" s="99" t="s">
        <v>282</v>
      </c>
      <c r="AN253" s="99" t="s">
        <v>4282</v>
      </c>
      <c r="AQ253" t="s">
        <v>25</v>
      </c>
    </row>
    <row r="254" spans="15:43">
      <c r="Q254" s="99" t="s">
        <v>4687</v>
      </c>
      <c r="R254" s="95">
        <v>8981245</v>
      </c>
      <c r="T254" s="213" t="s">
        <v>5005</v>
      </c>
      <c r="U254" s="213">
        <v>-1194</v>
      </c>
      <c r="V254" s="113">
        <v>335</v>
      </c>
      <c r="W254" s="113">
        <f t="shared" si="53"/>
        <v>-399990</v>
      </c>
      <c r="X254" s="99" t="s">
        <v>4434</v>
      </c>
      <c r="AH254" s="99">
        <v>1</v>
      </c>
      <c r="AI254" s="99" t="s">
        <v>3945</v>
      </c>
      <c r="AJ254" s="117">
        <v>3555820</v>
      </c>
      <c r="AK254" s="99">
        <v>2</v>
      </c>
      <c r="AL254" s="99">
        <f>AK254+AL255</f>
        <v>680</v>
      </c>
      <c r="AM254" s="99">
        <f>AJ254*AL254</f>
        <v>2417957600</v>
      </c>
      <c r="AN254" s="99" t="s">
        <v>4302</v>
      </c>
    </row>
    <row r="255" spans="15:43">
      <c r="P255" t="s">
        <v>25</v>
      </c>
      <c r="Q255" s="99" t="s">
        <v>4691</v>
      </c>
      <c r="R255" s="95">
        <v>9181756</v>
      </c>
      <c r="T255" s="213" t="s">
        <v>5005</v>
      </c>
      <c r="U255" s="213">
        <v>1194</v>
      </c>
      <c r="V255" s="113">
        <v>335</v>
      </c>
      <c r="W255" s="113">
        <f t="shared" si="53"/>
        <v>399990</v>
      </c>
      <c r="X255" s="99" t="s">
        <v>749</v>
      </c>
      <c r="AH255" s="99">
        <v>2</v>
      </c>
      <c r="AI255" s="99" t="s">
        <v>4020</v>
      </c>
      <c r="AJ255" s="117">
        <v>1720837</v>
      </c>
      <c r="AK255" s="99">
        <v>51</v>
      </c>
      <c r="AL255" s="99">
        <f t="shared" ref="AL255:AL264" si="68">AK255+AL256</f>
        <v>678</v>
      </c>
      <c r="AM255" s="99">
        <f t="shared" ref="AM255:AM283" si="69">AJ255*AL255</f>
        <v>1166727486</v>
      </c>
      <c r="AN255" s="99" t="s">
        <v>4303</v>
      </c>
    </row>
    <row r="256" spans="15:43">
      <c r="Q256" s="99" t="s">
        <v>4694</v>
      </c>
      <c r="R256" s="95">
        <v>11811208</v>
      </c>
      <c r="S256" t="s">
        <v>25</v>
      </c>
      <c r="T256" s="213" t="s">
        <v>5012</v>
      </c>
      <c r="U256" s="213">
        <v>433</v>
      </c>
      <c r="V256" s="113">
        <v>345.68</v>
      </c>
      <c r="W256" s="113">
        <f t="shared" si="53"/>
        <v>149679.44</v>
      </c>
      <c r="X256" s="99" t="s">
        <v>749</v>
      </c>
      <c r="AH256" s="99">
        <v>3</v>
      </c>
      <c r="AI256" s="99" t="s">
        <v>4126</v>
      </c>
      <c r="AJ256" s="117">
        <v>150000</v>
      </c>
      <c r="AK256" s="99">
        <v>3</v>
      </c>
      <c r="AL256" s="99">
        <f t="shared" si="68"/>
        <v>627</v>
      </c>
      <c r="AM256" s="99">
        <f t="shared" si="69"/>
        <v>94050000</v>
      </c>
      <c r="AN256" s="99"/>
    </row>
    <row r="257" spans="17:45">
      <c r="Q257" s="99" t="s">
        <v>4708</v>
      </c>
      <c r="R257" s="95">
        <v>41248054</v>
      </c>
      <c r="S257" t="s">
        <v>25</v>
      </c>
      <c r="T257" s="213" t="s">
        <v>5016</v>
      </c>
      <c r="U257" s="213">
        <v>55459</v>
      </c>
      <c r="V257" s="113">
        <v>362.51978000000003</v>
      </c>
      <c r="W257" s="113">
        <f t="shared" si="53"/>
        <v>20104984.479020003</v>
      </c>
      <c r="X257" s="99" t="s">
        <v>452</v>
      </c>
      <c r="AH257" s="99">
        <v>4</v>
      </c>
      <c r="AI257" s="99" t="s">
        <v>4141</v>
      </c>
      <c r="AJ257" s="117">
        <v>-95000</v>
      </c>
      <c r="AK257" s="99">
        <v>8</v>
      </c>
      <c r="AL257" s="99">
        <f t="shared" si="68"/>
        <v>624</v>
      </c>
      <c r="AM257" s="99">
        <f t="shared" si="69"/>
        <v>-59280000</v>
      </c>
      <c r="AN257" s="99"/>
    </row>
    <row r="258" spans="17:45">
      <c r="Q258" s="99" t="s">
        <v>4715</v>
      </c>
      <c r="R258" s="95">
        <v>37328780</v>
      </c>
      <c r="T258" s="213" t="s">
        <v>5020</v>
      </c>
      <c r="U258" s="213">
        <v>-57212</v>
      </c>
      <c r="V258" s="113">
        <v>368.45400000000001</v>
      </c>
      <c r="W258" s="113">
        <f t="shared" si="53"/>
        <v>-21079990.248</v>
      </c>
      <c r="X258" s="99" t="s">
        <v>452</v>
      </c>
      <c r="Z258" t="s">
        <v>25</v>
      </c>
      <c r="AH258" s="99">
        <v>5</v>
      </c>
      <c r="AI258" s="99" t="s">
        <v>4166</v>
      </c>
      <c r="AJ258" s="117">
        <v>3150000</v>
      </c>
      <c r="AK258" s="99">
        <v>16</v>
      </c>
      <c r="AL258" s="99">
        <f t="shared" si="68"/>
        <v>616</v>
      </c>
      <c r="AM258" s="99">
        <f t="shared" si="69"/>
        <v>1940400000</v>
      </c>
      <c r="AN258" s="99"/>
    </row>
    <row r="259" spans="17:45">
      <c r="Q259" s="99" t="s">
        <v>4797</v>
      </c>
      <c r="R259" s="95">
        <v>-2194100</v>
      </c>
      <c r="T259" s="213" t="s">
        <v>5021</v>
      </c>
      <c r="U259" s="213">
        <v>-15881</v>
      </c>
      <c r="V259" s="113">
        <v>374.61599999999999</v>
      </c>
      <c r="W259" s="113">
        <f t="shared" si="53"/>
        <v>-5949276.6959999995</v>
      </c>
      <c r="X259" s="99" t="s">
        <v>452</v>
      </c>
      <c r="AH259" s="99">
        <v>6</v>
      </c>
      <c r="AI259" s="99" t="s">
        <v>4231</v>
      </c>
      <c r="AJ259" s="117">
        <v>-65000</v>
      </c>
      <c r="AK259" s="99">
        <v>1</v>
      </c>
      <c r="AL259" s="99">
        <f t="shared" si="68"/>
        <v>600</v>
      </c>
      <c r="AM259" s="99">
        <f t="shared" si="69"/>
        <v>-39000000</v>
      </c>
      <c r="AN259" s="99"/>
    </row>
    <row r="260" spans="17:45">
      <c r="Q260" s="99" t="s">
        <v>4834</v>
      </c>
      <c r="R260" s="95">
        <v>20193916</v>
      </c>
      <c r="T260" s="213" t="s">
        <v>5027</v>
      </c>
      <c r="U260" s="213">
        <v>-41289</v>
      </c>
      <c r="V260" s="113">
        <v>372.27</v>
      </c>
      <c r="W260" s="113">
        <f t="shared" si="53"/>
        <v>-15370656.029999999</v>
      </c>
      <c r="X260" s="99" t="s">
        <v>452</v>
      </c>
      <c r="AH260" s="99">
        <v>7</v>
      </c>
      <c r="AI260" s="99" t="s">
        <v>4304</v>
      </c>
      <c r="AJ260" s="117">
        <v>-95000</v>
      </c>
      <c r="AK260" s="99">
        <v>6</v>
      </c>
      <c r="AL260" s="99">
        <f t="shared" si="68"/>
        <v>599</v>
      </c>
      <c r="AM260" s="99">
        <f t="shared" si="69"/>
        <v>-56905000</v>
      </c>
      <c r="AN260" s="99"/>
    </row>
    <row r="261" spans="17:45">
      <c r="Q261" s="99" t="s">
        <v>4908</v>
      </c>
      <c r="R261" s="95">
        <v>-2000000</v>
      </c>
      <c r="T261" s="213" t="s">
        <v>5033</v>
      </c>
      <c r="U261" s="213">
        <v>13563</v>
      </c>
      <c r="V261" s="113">
        <v>365.69799999999998</v>
      </c>
      <c r="W261" s="113">
        <f t="shared" si="53"/>
        <v>4959961.9739999995</v>
      </c>
      <c r="X261" s="99" t="s">
        <v>452</v>
      </c>
      <c r="AH261" s="99">
        <v>8</v>
      </c>
      <c r="AI261" s="99" t="s">
        <v>4305</v>
      </c>
      <c r="AJ261" s="117">
        <v>232000</v>
      </c>
      <c r="AK261" s="99">
        <v>7</v>
      </c>
      <c r="AL261" s="99">
        <f t="shared" si="68"/>
        <v>593</v>
      </c>
      <c r="AM261" s="99">
        <f t="shared" si="69"/>
        <v>137576000</v>
      </c>
      <c r="AN261" s="99"/>
    </row>
    <row r="262" spans="17:45">
      <c r="Q262" s="99" t="s">
        <v>4979</v>
      </c>
      <c r="R262" s="95">
        <v>6800000</v>
      </c>
      <c r="S262" t="s">
        <v>25</v>
      </c>
      <c r="T262" s="213" t="s">
        <v>5033</v>
      </c>
      <c r="U262" s="213">
        <v>27344</v>
      </c>
      <c r="V262" s="113">
        <v>365.69799999999998</v>
      </c>
      <c r="W262" s="113">
        <f t="shared" si="53"/>
        <v>9999646.1119999997</v>
      </c>
      <c r="X262" s="99" t="s">
        <v>452</v>
      </c>
      <c r="AH262" s="99">
        <v>9</v>
      </c>
      <c r="AI262" s="99" t="s">
        <v>4281</v>
      </c>
      <c r="AJ262" s="117">
        <v>13000000</v>
      </c>
      <c r="AK262" s="99">
        <v>2</v>
      </c>
      <c r="AL262" s="99">
        <f t="shared" si="68"/>
        <v>586</v>
      </c>
      <c r="AM262" s="99">
        <f t="shared" si="69"/>
        <v>7618000000</v>
      </c>
      <c r="AN262" s="99"/>
    </row>
    <row r="263" spans="17:45" ht="30">
      <c r="Q263" s="99" t="s">
        <v>4988</v>
      </c>
      <c r="R263" s="95">
        <v>850000</v>
      </c>
      <c r="T263" s="213" t="s">
        <v>5040</v>
      </c>
      <c r="U263" s="213">
        <v>-103145</v>
      </c>
      <c r="V263" s="113">
        <v>393.334</v>
      </c>
      <c r="W263" s="113">
        <f t="shared" si="53"/>
        <v>-40570435.43</v>
      </c>
      <c r="X263" s="36" t="s">
        <v>5045</v>
      </c>
      <c r="AH263" s="99">
        <v>10</v>
      </c>
      <c r="AI263" s="99" t="s">
        <v>4306</v>
      </c>
      <c r="AJ263" s="117">
        <v>10000000</v>
      </c>
      <c r="AK263" s="99">
        <v>3</v>
      </c>
      <c r="AL263" s="99">
        <f t="shared" si="68"/>
        <v>584</v>
      </c>
      <c r="AM263" s="99">
        <f t="shared" si="69"/>
        <v>5840000000</v>
      </c>
      <c r="AN263" s="99"/>
    </row>
    <row r="264" spans="17:45">
      <c r="Q264" s="99" t="s">
        <v>4997</v>
      </c>
      <c r="R264" s="95">
        <v>2290500</v>
      </c>
      <c r="T264" s="213" t="s">
        <v>5040</v>
      </c>
      <c r="U264" s="213">
        <v>-369</v>
      </c>
      <c r="V264" s="113">
        <v>393.334</v>
      </c>
      <c r="W264" s="113">
        <f t="shared" si="53"/>
        <v>-145140.24600000001</v>
      </c>
      <c r="X264" s="36" t="s">
        <v>5121</v>
      </c>
      <c r="AH264" s="99">
        <v>11</v>
      </c>
      <c r="AI264" s="99" t="s">
        <v>4294</v>
      </c>
      <c r="AJ264" s="117">
        <v>3400000</v>
      </c>
      <c r="AK264" s="99">
        <v>9</v>
      </c>
      <c r="AL264" s="99">
        <f t="shared" si="68"/>
        <v>581</v>
      </c>
      <c r="AM264" s="99">
        <f t="shared" si="69"/>
        <v>1975400000</v>
      </c>
      <c r="AN264" s="99"/>
    </row>
    <row r="265" spans="17:45">
      <c r="Q265" s="99" t="s">
        <v>5005</v>
      </c>
      <c r="R265" s="95">
        <v>400000</v>
      </c>
      <c r="S265" t="s">
        <v>25</v>
      </c>
      <c r="T265" s="213" t="s">
        <v>5040</v>
      </c>
      <c r="U265" s="213">
        <v>-889</v>
      </c>
      <c r="V265" s="113">
        <v>393.334</v>
      </c>
      <c r="W265" s="113">
        <f t="shared" si="53"/>
        <v>-349673.92599999998</v>
      </c>
      <c r="X265" s="36" t="s">
        <v>5122</v>
      </c>
      <c r="AH265" s="99">
        <v>12</v>
      </c>
      <c r="AI265" s="99" t="s">
        <v>4335</v>
      </c>
      <c r="AJ265" s="117">
        <v>-8736514</v>
      </c>
      <c r="AK265" s="99">
        <v>1</v>
      </c>
      <c r="AL265" s="99">
        <f>AK265+AL266</f>
        <v>572</v>
      </c>
      <c r="AM265" s="99">
        <f t="shared" si="69"/>
        <v>-4997286008</v>
      </c>
      <c r="AN265" s="99"/>
    </row>
    <row r="266" spans="17:45">
      <c r="Q266" s="99" t="s">
        <v>5012</v>
      </c>
      <c r="R266" s="95">
        <v>150000</v>
      </c>
      <c r="T266" s="213" t="s">
        <v>5049</v>
      </c>
      <c r="U266" s="213">
        <v>2546</v>
      </c>
      <c r="V266" s="113">
        <v>393</v>
      </c>
      <c r="W266" s="113">
        <f t="shared" si="53"/>
        <v>1000578</v>
      </c>
      <c r="X266" s="36" t="s">
        <v>452</v>
      </c>
      <c r="AH266" s="99">
        <v>13</v>
      </c>
      <c r="AI266" s="99" t="s">
        <v>4336</v>
      </c>
      <c r="AJ266" s="117">
        <v>555000</v>
      </c>
      <c r="AK266" s="99">
        <v>5</v>
      </c>
      <c r="AL266" s="99">
        <f t="shared" ref="AL266:AL282" si="70">AK266+AL267</f>
        <v>571</v>
      </c>
      <c r="AM266" s="99">
        <f t="shared" si="69"/>
        <v>316905000</v>
      </c>
      <c r="AN266" s="99"/>
    </row>
    <row r="267" spans="17:45">
      <c r="Q267" s="99" t="s">
        <v>5040</v>
      </c>
      <c r="R267" s="95">
        <v>-144950</v>
      </c>
      <c r="T267" s="213" t="s">
        <v>5050</v>
      </c>
      <c r="U267" s="213">
        <v>1034</v>
      </c>
      <c r="V267" s="113">
        <v>386.608</v>
      </c>
      <c r="W267" s="113">
        <f t="shared" si="53"/>
        <v>399752.67200000002</v>
      </c>
      <c r="X267" s="36" t="s">
        <v>452</v>
      </c>
      <c r="Y267" t="s">
        <v>25</v>
      </c>
      <c r="AH267" s="99">
        <v>14</v>
      </c>
      <c r="AI267" s="99" t="s">
        <v>4360</v>
      </c>
      <c r="AJ267" s="117">
        <v>-448308</v>
      </c>
      <c r="AK267" s="99">
        <v>6</v>
      </c>
      <c r="AL267" s="99">
        <f t="shared" si="70"/>
        <v>566</v>
      </c>
      <c r="AM267" s="99">
        <f t="shared" si="69"/>
        <v>-253742328</v>
      </c>
      <c r="AN267" s="99"/>
      <c r="AS267" t="s">
        <v>25</v>
      </c>
    </row>
    <row r="268" spans="17:45">
      <c r="Q268" s="99" t="s">
        <v>5068</v>
      </c>
      <c r="R268" s="95">
        <v>320000</v>
      </c>
      <c r="T268" s="213" t="s">
        <v>5057</v>
      </c>
      <c r="U268" s="213">
        <v>300</v>
      </c>
      <c r="V268" s="113">
        <v>400</v>
      </c>
      <c r="W268" s="113">
        <f t="shared" si="53"/>
        <v>120000</v>
      </c>
      <c r="X268" s="36" t="s">
        <v>452</v>
      </c>
      <c r="AA268" t="s">
        <v>25</v>
      </c>
      <c r="AH268" s="99">
        <v>15</v>
      </c>
      <c r="AI268" s="99" t="s">
        <v>4390</v>
      </c>
      <c r="AJ268" s="117">
        <v>33225</v>
      </c>
      <c r="AK268" s="99">
        <v>0</v>
      </c>
      <c r="AL268" s="99">
        <f t="shared" si="70"/>
        <v>560</v>
      </c>
      <c r="AM268" s="99">
        <f t="shared" si="69"/>
        <v>18606000</v>
      </c>
      <c r="AN268" s="99"/>
    </row>
    <row r="269" spans="17:45">
      <c r="Q269" s="99" t="s">
        <v>5072</v>
      </c>
      <c r="R269" s="95">
        <v>500000</v>
      </c>
      <c r="S269" t="s">
        <v>25</v>
      </c>
      <c r="T269" s="213" t="s">
        <v>5068</v>
      </c>
      <c r="U269" s="213">
        <v>782</v>
      </c>
      <c r="V269" s="113">
        <v>409</v>
      </c>
      <c r="W269" s="113">
        <f t="shared" si="53"/>
        <v>319838</v>
      </c>
      <c r="X269" s="36" t="s">
        <v>749</v>
      </c>
      <c r="AH269" s="149">
        <v>16</v>
      </c>
      <c r="AI269" s="149" t="s">
        <v>4390</v>
      </c>
      <c r="AJ269" s="188">
        <v>4098523</v>
      </c>
      <c r="AK269" s="149">
        <v>2</v>
      </c>
      <c r="AL269" s="149">
        <f t="shared" si="70"/>
        <v>560</v>
      </c>
      <c r="AM269" s="149">
        <f t="shared" si="69"/>
        <v>2295172880</v>
      </c>
      <c r="AN269" s="149" t="s">
        <v>655</v>
      </c>
    </row>
    <row r="270" spans="17:45">
      <c r="Q270" s="99" t="s">
        <v>5117</v>
      </c>
      <c r="R270" s="95">
        <v>400000</v>
      </c>
      <c r="S270" t="s">
        <v>25</v>
      </c>
      <c r="T270" s="213" t="s">
        <v>5072</v>
      </c>
      <c r="U270" s="213">
        <v>1220</v>
      </c>
      <c r="V270" s="113">
        <v>409.9</v>
      </c>
      <c r="W270" s="113">
        <f t="shared" si="53"/>
        <v>500078</v>
      </c>
      <c r="X270" s="36" t="s">
        <v>749</v>
      </c>
      <c r="AH270" s="149">
        <v>17</v>
      </c>
      <c r="AI270" s="149" t="s">
        <v>4403</v>
      </c>
      <c r="AJ270" s="188">
        <v>-1000000</v>
      </c>
      <c r="AK270" s="149">
        <v>7</v>
      </c>
      <c r="AL270" s="149">
        <f t="shared" si="70"/>
        <v>558</v>
      </c>
      <c r="AM270" s="149">
        <f t="shared" si="69"/>
        <v>-558000000</v>
      </c>
      <c r="AN270" s="149" t="s">
        <v>655</v>
      </c>
    </row>
    <row r="271" spans="17:45">
      <c r="Q271" s="99" t="s">
        <v>5120</v>
      </c>
      <c r="R271" s="95">
        <v>50000</v>
      </c>
      <c r="S271" t="s">
        <v>25</v>
      </c>
      <c r="T271" s="213" t="s">
        <v>5074</v>
      </c>
      <c r="U271" s="213">
        <v>1285</v>
      </c>
      <c r="V271" s="113">
        <v>388.84</v>
      </c>
      <c r="W271" s="113">
        <f t="shared" si="53"/>
        <v>499659.39999999997</v>
      </c>
      <c r="X271" s="36" t="s">
        <v>452</v>
      </c>
      <c r="AH271" s="149">
        <v>18</v>
      </c>
      <c r="AI271" s="149" t="s">
        <v>4423</v>
      </c>
      <c r="AJ271" s="188">
        <v>750000</v>
      </c>
      <c r="AK271" s="149">
        <v>1</v>
      </c>
      <c r="AL271" s="149">
        <f t="shared" si="70"/>
        <v>551</v>
      </c>
      <c r="AM271" s="149">
        <f t="shared" si="69"/>
        <v>413250000</v>
      </c>
      <c r="AN271" s="149" t="s">
        <v>655</v>
      </c>
      <c r="AR271" t="s">
        <v>25</v>
      </c>
    </row>
    <row r="272" spans="17:45">
      <c r="Q272" s="99" t="s">
        <v>5130</v>
      </c>
      <c r="R272" s="95">
        <v>300000</v>
      </c>
      <c r="T272" s="213" t="s">
        <v>5062</v>
      </c>
      <c r="U272" s="213">
        <v>1924</v>
      </c>
      <c r="V272" s="113">
        <v>386.69600000000003</v>
      </c>
      <c r="W272" s="113">
        <f t="shared" si="53"/>
        <v>744003.10400000005</v>
      </c>
      <c r="X272" s="36" t="s">
        <v>452</v>
      </c>
      <c r="AH272" s="195">
        <v>19</v>
      </c>
      <c r="AI272" s="195" t="s">
        <v>4425</v>
      </c>
      <c r="AJ272" s="196">
        <v>-604152</v>
      </c>
      <c r="AK272" s="195">
        <v>0</v>
      </c>
      <c r="AL272" s="195">
        <f t="shared" si="70"/>
        <v>550</v>
      </c>
      <c r="AM272" s="195">
        <f t="shared" si="69"/>
        <v>-332283600</v>
      </c>
      <c r="AN272" s="195" t="s">
        <v>655</v>
      </c>
    </row>
    <row r="273" spans="17:40">
      <c r="Q273" s="99" t="s">
        <v>5156</v>
      </c>
      <c r="R273" s="95">
        <v>250000</v>
      </c>
      <c r="T273" s="213" t="s">
        <v>5090</v>
      </c>
      <c r="U273" s="213">
        <v>165</v>
      </c>
      <c r="V273" s="113">
        <v>393.5</v>
      </c>
      <c r="W273" s="113">
        <f t="shared" si="53"/>
        <v>64927.5</v>
      </c>
      <c r="X273" s="36" t="s">
        <v>452</v>
      </c>
      <c r="Y273" t="s">
        <v>25</v>
      </c>
      <c r="AH273" s="99">
        <v>20</v>
      </c>
      <c r="AI273" s="99" t="s">
        <v>4426</v>
      </c>
      <c r="AJ273" s="117">
        <v>-587083</v>
      </c>
      <c r="AK273" s="99">
        <v>4</v>
      </c>
      <c r="AL273" s="99">
        <f t="shared" si="70"/>
        <v>550</v>
      </c>
      <c r="AM273" s="99">
        <f t="shared" si="69"/>
        <v>-322895650</v>
      </c>
      <c r="AN273" s="99"/>
    </row>
    <row r="274" spans="17:40" ht="30">
      <c r="Q274" s="99" t="s">
        <v>5191</v>
      </c>
      <c r="R274" s="95">
        <v>200000</v>
      </c>
      <c r="T274" s="213" t="s">
        <v>5096</v>
      </c>
      <c r="U274" s="213">
        <v>-34859</v>
      </c>
      <c r="V274" s="113">
        <v>403.1585</v>
      </c>
      <c r="W274" s="113">
        <f t="shared" si="53"/>
        <v>-14053702.1515</v>
      </c>
      <c r="X274" s="36" t="s">
        <v>5099</v>
      </c>
      <c r="Y274" t="s">
        <v>25</v>
      </c>
      <c r="AH274" s="195">
        <v>21</v>
      </c>
      <c r="AI274" s="195" t="s">
        <v>4427</v>
      </c>
      <c r="AJ274" s="196">
        <v>-754351</v>
      </c>
      <c r="AK274" s="195">
        <v>0</v>
      </c>
      <c r="AL274" s="149">
        <f t="shared" si="70"/>
        <v>546</v>
      </c>
      <c r="AM274" s="195">
        <f t="shared" si="69"/>
        <v>-411875646</v>
      </c>
      <c r="AN274" s="195" t="s">
        <v>655</v>
      </c>
    </row>
    <row r="275" spans="17:40">
      <c r="Q275" s="99" t="s">
        <v>5226</v>
      </c>
      <c r="R275" s="95">
        <v>122000</v>
      </c>
      <c r="T275" s="213" t="s">
        <v>5063</v>
      </c>
      <c r="U275" s="213">
        <v>8476</v>
      </c>
      <c r="V275" s="113">
        <v>419.49900000000002</v>
      </c>
      <c r="W275" s="113">
        <f t="shared" si="53"/>
        <v>3555673.5240000002</v>
      </c>
      <c r="X275" s="36" t="s">
        <v>5105</v>
      </c>
      <c r="AH275" s="99">
        <v>22</v>
      </c>
      <c r="AI275" s="99" t="s">
        <v>4427</v>
      </c>
      <c r="AJ275" s="117">
        <v>-189619</v>
      </c>
      <c r="AK275" s="99">
        <v>15</v>
      </c>
      <c r="AL275" s="99">
        <f t="shared" si="70"/>
        <v>546</v>
      </c>
      <c r="AM275" s="99">
        <f t="shared" si="69"/>
        <v>-103531974</v>
      </c>
      <c r="AN275" s="99"/>
    </row>
    <row r="276" spans="17:40">
      <c r="Q276" s="99" t="s">
        <v>5234</v>
      </c>
      <c r="R276" s="95">
        <v>200000</v>
      </c>
      <c r="S276" t="s">
        <v>25</v>
      </c>
      <c r="T276" s="213" t="s">
        <v>5117</v>
      </c>
      <c r="U276" s="213">
        <v>903</v>
      </c>
      <c r="V276" s="113">
        <v>442.77379999999999</v>
      </c>
      <c r="W276" s="113">
        <f t="shared" si="53"/>
        <v>399824.7414</v>
      </c>
      <c r="X276" s="36" t="s">
        <v>749</v>
      </c>
      <c r="AH276" s="195">
        <v>23</v>
      </c>
      <c r="AI276" s="195" t="s">
        <v>4493</v>
      </c>
      <c r="AJ276" s="188">
        <v>7100</v>
      </c>
      <c r="AK276" s="195">
        <v>0</v>
      </c>
      <c r="AL276" s="149">
        <f t="shared" si="70"/>
        <v>531</v>
      </c>
      <c r="AM276" s="195">
        <f t="shared" si="69"/>
        <v>3770100</v>
      </c>
      <c r="AN276" s="195" t="s">
        <v>655</v>
      </c>
    </row>
    <row r="277" spans="17:40">
      <c r="Q277" s="99" t="s">
        <v>5245</v>
      </c>
      <c r="R277" s="95">
        <v>60000</v>
      </c>
      <c r="T277" s="213" t="s">
        <v>5120</v>
      </c>
      <c r="U277" s="213">
        <v>113</v>
      </c>
      <c r="V277" s="113">
        <v>442.48200000000003</v>
      </c>
      <c r="W277" s="113">
        <f t="shared" ref="W277:W353" si="71">U277*V277</f>
        <v>50000.466</v>
      </c>
      <c r="X277" s="36" t="s">
        <v>749</v>
      </c>
      <c r="AH277" s="20">
        <v>24</v>
      </c>
      <c r="AI277" s="20" t="s">
        <v>4493</v>
      </c>
      <c r="AJ277" s="117">
        <v>-147902</v>
      </c>
      <c r="AK277" s="20">
        <v>3</v>
      </c>
      <c r="AL277" s="99">
        <f t="shared" si="70"/>
        <v>531</v>
      </c>
      <c r="AM277" s="20">
        <f t="shared" si="69"/>
        <v>-78535962</v>
      </c>
      <c r="AN277" s="20"/>
    </row>
    <row r="278" spans="17:40">
      <c r="Q278" s="99" t="s">
        <v>5307</v>
      </c>
      <c r="R278" s="95">
        <v>-200000</v>
      </c>
      <c r="S278" t="s">
        <v>25</v>
      </c>
      <c r="T278" s="213" t="s">
        <v>5130</v>
      </c>
      <c r="U278" s="213">
        <v>671</v>
      </c>
      <c r="V278" s="113">
        <v>447</v>
      </c>
      <c r="W278" s="113">
        <f t="shared" si="71"/>
        <v>299937</v>
      </c>
      <c r="X278" s="36" t="s">
        <v>749</v>
      </c>
      <c r="AH278" s="149">
        <v>25</v>
      </c>
      <c r="AI278" s="149" t="s">
        <v>4501</v>
      </c>
      <c r="AJ278" s="188">
        <v>-37200</v>
      </c>
      <c r="AK278" s="149">
        <v>4</v>
      </c>
      <c r="AL278" s="149">
        <f t="shared" si="70"/>
        <v>528</v>
      </c>
      <c r="AM278" s="195">
        <f t="shared" si="69"/>
        <v>-19641600</v>
      </c>
      <c r="AN278" s="149" t="s">
        <v>655</v>
      </c>
    </row>
    <row r="279" spans="17:40">
      <c r="Q279" s="99" t="s">
        <v>5383</v>
      </c>
      <c r="R279" s="95">
        <v>-9000000</v>
      </c>
      <c r="T279" s="213" t="s">
        <v>5132</v>
      </c>
      <c r="U279" s="213">
        <v>7</v>
      </c>
      <c r="V279" s="113">
        <v>465.31200000000001</v>
      </c>
      <c r="W279" s="113">
        <f t="shared" si="71"/>
        <v>3257.1840000000002</v>
      </c>
      <c r="X279" s="36" t="s">
        <v>452</v>
      </c>
      <c r="AH279" s="99">
        <v>26</v>
      </c>
      <c r="AI279" s="99" t="s">
        <v>4532</v>
      </c>
      <c r="AJ279" s="117">
        <v>-372326</v>
      </c>
      <c r="AK279" s="99">
        <v>21</v>
      </c>
      <c r="AL279" s="99">
        <f t="shared" si="70"/>
        <v>524</v>
      </c>
      <c r="AM279" s="20">
        <f t="shared" si="69"/>
        <v>-195098824</v>
      </c>
      <c r="AN279" s="99"/>
    </row>
    <row r="280" spans="17:40">
      <c r="Q280" s="99" t="s">
        <v>5447</v>
      </c>
      <c r="R280" s="95">
        <v>-26000000</v>
      </c>
      <c r="T280" s="213" t="s">
        <v>5138</v>
      </c>
      <c r="U280" s="213">
        <v>12950</v>
      </c>
      <c r="V280" s="113">
        <v>463.31599999999997</v>
      </c>
      <c r="W280" s="113">
        <f t="shared" si="71"/>
        <v>5999942.1999999993</v>
      </c>
      <c r="X280" s="36" t="s">
        <v>452</v>
      </c>
      <c r="AH280" s="99">
        <v>27</v>
      </c>
      <c r="AI280" s="99" t="s">
        <v>4581</v>
      </c>
      <c r="AJ280" s="117">
        <v>235062</v>
      </c>
      <c r="AK280" s="99">
        <v>0</v>
      </c>
      <c r="AL280" s="99">
        <f t="shared" si="70"/>
        <v>503</v>
      </c>
      <c r="AM280" s="20">
        <f t="shared" si="69"/>
        <v>118236186</v>
      </c>
      <c r="AN280" s="99"/>
    </row>
    <row r="281" spans="17:40">
      <c r="Q281" s="99" t="s">
        <v>5453</v>
      </c>
      <c r="R281" s="95">
        <v>-95900000</v>
      </c>
      <c r="T281" s="213" t="s">
        <v>5141</v>
      </c>
      <c r="U281" s="213">
        <v>37</v>
      </c>
      <c r="V281" s="113">
        <v>463.315</v>
      </c>
      <c r="W281" s="113">
        <f t="shared" si="71"/>
        <v>17142.654999999999</v>
      </c>
      <c r="X281" s="36" t="s">
        <v>452</v>
      </c>
      <c r="AH281" s="149">
        <v>28</v>
      </c>
      <c r="AI281" s="149" t="s">
        <v>4581</v>
      </c>
      <c r="AJ281" s="188">
        <v>235062</v>
      </c>
      <c r="AK281" s="149">
        <v>9</v>
      </c>
      <c r="AL281" s="99">
        <f t="shared" si="70"/>
        <v>503</v>
      </c>
      <c r="AM281" s="149">
        <f t="shared" si="69"/>
        <v>118236186</v>
      </c>
      <c r="AN281" s="149" t="s">
        <v>655</v>
      </c>
    </row>
    <row r="282" spans="17:40">
      <c r="Q282" s="99" t="s">
        <v>5454</v>
      </c>
      <c r="R282" s="95">
        <v>-28950000</v>
      </c>
      <c r="S282" t="s">
        <v>25</v>
      </c>
      <c r="T282" s="213" t="s">
        <v>5142</v>
      </c>
      <c r="U282" s="213">
        <v>19</v>
      </c>
      <c r="V282" s="113">
        <v>434.3</v>
      </c>
      <c r="W282" s="113">
        <f t="shared" si="71"/>
        <v>8251.7000000000007</v>
      </c>
      <c r="X282" s="36" t="s">
        <v>452</v>
      </c>
      <c r="AH282" s="149">
        <v>29</v>
      </c>
      <c r="AI282" s="149" t="s">
        <v>4604</v>
      </c>
      <c r="AJ282" s="188">
        <v>450000</v>
      </c>
      <c r="AK282" s="149">
        <v>0</v>
      </c>
      <c r="AL282" s="99">
        <f t="shared" si="70"/>
        <v>494</v>
      </c>
      <c r="AM282" s="149">
        <f t="shared" si="69"/>
        <v>222300000</v>
      </c>
      <c r="AN282" s="149" t="s">
        <v>655</v>
      </c>
    </row>
    <row r="283" spans="17:40">
      <c r="Q283" s="99"/>
      <c r="R283" s="95"/>
      <c r="S283" t="s">
        <v>25</v>
      </c>
      <c r="T283" s="213" t="s">
        <v>5144</v>
      </c>
      <c r="U283" s="213">
        <v>16</v>
      </c>
      <c r="V283" s="113">
        <v>439</v>
      </c>
      <c r="W283" s="113">
        <f t="shared" si="71"/>
        <v>7024</v>
      </c>
      <c r="X283" s="36" t="s">
        <v>452</v>
      </c>
      <c r="AH283" s="20">
        <v>30</v>
      </c>
      <c r="AI283" s="20" t="s">
        <v>4604</v>
      </c>
      <c r="AJ283" s="117">
        <v>450000</v>
      </c>
      <c r="AK283" s="20">
        <v>22</v>
      </c>
      <c r="AL283" s="99">
        <f>AK283+AL284</f>
        <v>494</v>
      </c>
      <c r="AM283" s="20">
        <f t="shared" si="69"/>
        <v>222300000</v>
      </c>
      <c r="AN283" s="20"/>
    </row>
    <row r="284" spans="17:40" ht="45">
      <c r="Q284" s="99"/>
      <c r="R284" s="95"/>
      <c r="T284" s="213" t="s">
        <v>5144</v>
      </c>
      <c r="U284" s="213">
        <v>9191</v>
      </c>
      <c r="V284" s="113">
        <v>440.24630000000002</v>
      </c>
      <c r="W284" s="113">
        <f t="shared" si="71"/>
        <v>4046303.7433000002</v>
      </c>
      <c r="X284" s="36" t="s">
        <v>5145</v>
      </c>
      <c r="AH284" s="149">
        <v>31</v>
      </c>
      <c r="AI284" s="149" t="s">
        <v>4670</v>
      </c>
      <c r="AJ284" s="188">
        <v>300000</v>
      </c>
      <c r="AK284" s="149">
        <v>0</v>
      </c>
      <c r="AL284" s="149">
        <f t="shared" ref="AL284:AL299" si="72">AK284+AL285</f>
        <v>472</v>
      </c>
      <c r="AM284" s="149">
        <f t="shared" ref="AM284:AM293" si="73">AJ284*AL284</f>
        <v>141600000</v>
      </c>
      <c r="AN284" s="149"/>
    </row>
    <row r="285" spans="17:40" ht="30">
      <c r="Q285" s="99"/>
      <c r="R285" s="95">
        <f>SUM(R239:R284)</f>
        <v>276933825</v>
      </c>
      <c r="T285" s="213" t="s">
        <v>5147</v>
      </c>
      <c r="U285" s="213">
        <v>-8792</v>
      </c>
      <c r="V285" s="113">
        <v>441.90665999999999</v>
      </c>
      <c r="W285" s="113">
        <f t="shared" si="71"/>
        <v>-3885243.3547199997</v>
      </c>
      <c r="X285" s="36" t="s">
        <v>5148</v>
      </c>
      <c r="AH285" s="121">
        <v>32</v>
      </c>
      <c r="AI285" s="121" t="s">
        <v>4670</v>
      </c>
      <c r="AJ285" s="79">
        <v>288936</v>
      </c>
      <c r="AK285" s="121">
        <v>3</v>
      </c>
      <c r="AL285" s="121">
        <f t="shared" si="72"/>
        <v>472</v>
      </c>
      <c r="AM285" s="121">
        <f t="shared" si="73"/>
        <v>136377792</v>
      </c>
      <c r="AN285" s="205" t="s">
        <v>4681</v>
      </c>
    </row>
    <row r="286" spans="17:40">
      <c r="Q286" s="99"/>
      <c r="R286" s="99" t="s">
        <v>6</v>
      </c>
      <c r="T286" s="189" t="s">
        <v>5151</v>
      </c>
      <c r="U286" s="189">
        <v>24374</v>
      </c>
      <c r="V286" s="188">
        <v>471.81700000000001</v>
      </c>
      <c r="W286" s="188">
        <f t="shared" si="71"/>
        <v>11500067.558</v>
      </c>
      <c r="X286" s="279" t="s">
        <v>5154</v>
      </c>
      <c r="AH286" s="121">
        <v>33</v>
      </c>
      <c r="AI286" s="121" t="s">
        <v>4679</v>
      </c>
      <c r="AJ286" s="79">
        <v>17962491</v>
      </c>
      <c r="AK286" s="121">
        <v>1</v>
      </c>
      <c r="AL286" s="121">
        <f t="shared" si="72"/>
        <v>469</v>
      </c>
      <c r="AM286" s="121">
        <f t="shared" si="73"/>
        <v>8424408279</v>
      </c>
      <c r="AN286" s="121" t="s">
        <v>4686</v>
      </c>
    </row>
    <row r="287" spans="17:40">
      <c r="R287" t="s">
        <v>25</v>
      </c>
      <c r="T287" s="213" t="s">
        <v>5156</v>
      </c>
      <c r="U287" s="213">
        <v>530</v>
      </c>
      <c r="V287" s="113">
        <v>472</v>
      </c>
      <c r="W287" s="113">
        <f t="shared" si="71"/>
        <v>250160</v>
      </c>
      <c r="X287" s="36" t="s">
        <v>749</v>
      </c>
      <c r="AH287" s="121">
        <v>34</v>
      </c>
      <c r="AI287" s="121" t="s">
        <v>3680</v>
      </c>
      <c r="AJ287" s="79">
        <v>18363511</v>
      </c>
      <c r="AK287" s="121">
        <v>1</v>
      </c>
      <c r="AL287" s="121">
        <f t="shared" si="72"/>
        <v>468</v>
      </c>
      <c r="AM287" s="121">
        <f t="shared" si="73"/>
        <v>8594123148</v>
      </c>
      <c r="AN287" s="121" t="s">
        <v>4686</v>
      </c>
    </row>
    <row r="288" spans="17:40" ht="30">
      <c r="S288" t="s">
        <v>25</v>
      </c>
      <c r="T288" s="213" t="s">
        <v>5156</v>
      </c>
      <c r="U288" s="213">
        <v>12</v>
      </c>
      <c r="V288" s="113">
        <v>481.86</v>
      </c>
      <c r="W288" s="113">
        <f t="shared" si="71"/>
        <v>5782.32</v>
      </c>
      <c r="X288" s="36" t="s">
        <v>5158</v>
      </c>
      <c r="AH288" s="121">
        <v>35</v>
      </c>
      <c r="AI288" s="121" t="s">
        <v>4691</v>
      </c>
      <c r="AJ288" s="79">
        <v>23622417</v>
      </c>
      <c r="AK288" s="121">
        <v>5</v>
      </c>
      <c r="AL288" s="121">
        <f t="shared" si="72"/>
        <v>467</v>
      </c>
      <c r="AM288" s="121">
        <f t="shared" si="73"/>
        <v>11031668739</v>
      </c>
      <c r="AN288" s="121" t="s">
        <v>4693</v>
      </c>
    </row>
    <row r="289" spans="15:44">
      <c r="Q289" s="99" t="s">
        <v>452</v>
      </c>
      <c r="R289" s="99"/>
      <c r="T289" s="189" t="s">
        <v>5181</v>
      </c>
      <c r="U289" s="189">
        <v>12330</v>
      </c>
      <c r="V289" s="188">
        <v>486.63443869999998</v>
      </c>
      <c r="W289" s="188">
        <f t="shared" si="71"/>
        <v>6000202.6291709999</v>
      </c>
      <c r="X289" s="279" t="s">
        <v>5154</v>
      </c>
      <c r="AH289" s="121">
        <v>36</v>
      </c>
      <c r="AI289" s="121" t="s">
        <v>4706</v>
      </c>
      <c r="AJ289" s="79">
        <v>82496108</v>
      </c>
      <c r="AK289" s="121">
        <v>1</v>
      </c>
      <c r="AL289" s="121">
        <f t="shared" si="72"/>
        <v>462</v>
      </c>
      <c r="AM289" s="121">
        <f t="shared" si="73"/>
        <v>38113201896</v>
      </c>
      <c r="AN289" s="121" t="s">
        <v>4709</v>
      </c>
    </row>
    <row r="290" spans="15:44">
      <c r="Q290" s="99" t="s">
        <v>4427</v>
      </c>
      <c r="R290" s="95">
        <v>63115000</v>
      </c>
      <c r="T290" s="213" t="s">
        <v>5183</v>
      </c>
      <c r="U290" s="213">
        <v>846</v>
      </c>
      <c r="V290" s="113">
        <v>472.7</v>
      </c>
      <c r="W290" s="113">
        <f t="shared" si="71"/>
        <v>399904.2</v>
      </c>
      <c r="X290" s="36" t="s">
        <v>452</v>
      </c>
      <c r="AH290" s="121">
        <v>37</v>
      </c>
      <c r="AI290" s="121" t="s">
        <v>4708</v>
      </c>
      <c r="AJ290" s="79">
        <v>74657561</v>
      </c>
      <c r="AK290" s="121">
        <v>16</v>
      </c>
      <c r="AL290" s="121">
        <f t="shared" si="72"/>
        <v>461</v>
      </c>
      <c r="AM290" s="121">
        <f t="shared" si="73"/>
        <v>34417135621</v>
      </c>
      <c r="AN290" s="121" t="s">
        <v>4714</v>
      </c>
    </row>
    <row r="291" spans="15:44">
      <c r="Q291" s="99" t="s">
        <v>4475</v>
      </c>
      <c r="R291" s="95">
        <v>13300000</v>
      </c>
      <c r="T291" s="189" t="s">
        <v>5183</v>
      </c>
      <c r="U291" s="189">
        <v>3173</v>
      </c>
      <c r="V291" s="188">
        <v>472.7</v>
      </c>
      <c r="W291" s="188">
        <f t="shared" si="71"/>
        <v>1499877.0999999999</v>
      </c>
      <c r="X291" s="279" t="s">
        <v>5318</v>
      </c>
      <c r="AH291" s="99">
        <v>38</v>
      </c>
      <c r="AI291" s="99" t="s">
        <v>4783</v>
      </c>
      <c r="AJ291" s="117">
        <v>665000</v>
      </c>
      <c r="AK291" s="99">
        <v>0</v>
      </c>
      <c r="AL291" s="99">
        <f t="shared" si="72"/>
        <v>445</v>
      </c>
      <c r="AM291" s="20">
        <f t="shared" si="73"/>
        <v>295925000</v>
      </c>
      <c r="AN291" s="99"/>
    </row>
    <row r="292" spans="15:44">
      <c r="Q292" s="99" t="s">
        <v>4483</v>
      </c>
      <c r="R292" s="95">
        <v>2269000</v>
      </c>
      <c r="T292" s="213" t="s">
        <v>5187</v>
      </c>
      <c r="U292" s="213">
        <v>191</v>
      </c>
      <c r="V292" s="113">
        <v>484.572</v>
      </c>
      <c r="W292" s="113">
        <f t="shared" si="71"/>
        <v>92553.252000000008</v>
      </c>
      <c r="X292" s="36" t="s">
        <v>5188</v>
      </c>
      <c r="AH292" s="149">
        <v>39</v>
      </c>
      <c r="AI292" s="149" t="s">
        <v>4783</v>
      </c>
      <c r="AJ292" s="188">
        <v>665000</v>
      </c>
      <c r="AK292" s="149">
        <v>4</v>
      </c>
      <c r="AL292" s="195">
        <f t="shared" si="72"/>
        <v>445</v>
      </c>
      <c r="AM292" s="195">
        <f t="shared" si="73"/>
        <v>295925000</v>
      </c>
      <c r="AN292" s="195"/>
    </row>
    <row r="293" spans="15:44">
      <c r="O293" t="s">
        <v>25</v>
      </c>
      <c r="Q293" s="99" t="s">
        <v>4594</v>
      </c>
      <c r="R293" s="95">
        <v>25071612</v>
      </c>
      <c r="T293" s="213" t="s">
        <v>5187</v>
      </c>
      <c r="U293" s="213">
        <v>-206</v>
      </c>
      <c r="V293" s="113">
        <v>484.572</v>
      </c>
      <c r="W293" s="113">
        <f t="shared" si="71"/>
        <v>-99821.831999999995</v>
      </c>
      <c r="X293" s="36" t="s">
        <v>5190</v>
      </c>
      <c r="AH293" s="20">
        <v>40</v>
      </c>
      <c r="AI293" s="20" t="s">
        <v>4792</v>
      </c>
      <c r="AJ293" s="117">
        <v>2000000</v>
      </c>
      <c r="AK293" s="20">
        <v>1</v>
      </c>
      <c r="AL293" s="99">
        <f t="shared" si="72"/>
        <v>441</v>
      </c>
      <c r="AM293" s="20">
        <f t="shared" si="73"/>
        <v>882000000</v>
      </c>
      <c r="AN293" s="99"/>
    </row>
    <row r="294" spans="15:44">
      <c r="Q294" s="99" t="s">
        <v>4603</v>
      </c>
      <c r="R294" s="95">
        <v>42236984</v>
      </c>
      <c r="T294" s="213" t="s">
        <v>5191</v>
      </c>
      <c r="U294" s="213">
        <v>20685</v>
      </c>
      <c r="V294" s="113">
        <v>483.43312200000003</v>
      </c>
      <c r="W294" s="113">
        <f t="shared" si="71"/>
        <v>9999814.1285699997</v>
      </c>
      <c r="X294" s="36" t="s">
        <v>5193</v>
      </c>
      <c r="AH294" s="20">
        <v>41</v>
      </c>
      <c r="AI294" s="20" t="s">
        <v>4797</v>
      </c>
      <c r="AJ294" s="117">
        <v>-2060725</v>
      </c>
      <c r="AK294" s="20">
        <v>0</v>
      </c>
      <c r="AL294" s="99">
        <f t="shared" si="72"/>
        <v>440</v>
      </c>
      <c r="AM294" s="20">
        <f t="shared" ref="AM294:AM299" si="74">AJ294*AL294</f>
        <v>-906719000</v>
      </c>
      <c r="AN294" s="99" t="s">
        <v>4798</v>
      </c>
    </row>
    <row r="295" spans="15:44">
      <c r="Q295" s="99" t="s">
        <v>4604</v>
      </c>
      <c r="R295" s="95">
        <v>19663646</v>
      </c>
      <c r="T295" s="213" t="s">
        <v>5191</v>
      </c>
      <c r="U295" s="213">
        <v>-413</v>
      </c>
      <c r="V295" s="113">
        <v>483.40199999999999</v>
      </c>
      <c r="W295" s="113">
        <f t="shared" si="71"/>
        <v>-199645.02599999998</v>
      </c>
      <c r="X295" s="36" t="s">
        <v>4434</v>
      </c>
      <c r="AH295" s="149">
        <v>42</v>
      </c>
      <c r="AI295" s="149" t="s">
        <v>4797</v>
      </c>
      <c r="AJ295" s="188">
        <v>-433375</v>
      </c>
      <c r="AK295" s="149">
        <v>0</v>
      </c>
      <c r="AL295" s="149">
        <f t="shared" si="72"/>
        <v>440</v>
      </c>
      <c r="AM295" s="149">
        <f t="shared" si="74"/>
        <v>-190685000</v>
      </c>
      <c r="AN295" s="149" t="s">
        <v>4799</v>
      </c>
    </row>
    <row r="296" spans="15:44">
      <c r="Q296" s="99" t="s">
        <v>4627</v>
      </c>
      <c r="R296" s="95">
        <v>4374525</v>
      </c>
      <c r="T296" s="213" t="s">
        <v>5191</v>
      </c>
      <c r="U296" s="213">
        <v>413</v>
      </c>
      <c r="V296" s="113">
        <v>483.40199999999999</v>
      </c>
      <c r="W296" s="113">
        <f t="shared" si="71"/>
        <v>199645.02599999998</v>
      </c>
      <c r="X296" s="36" t="s">
        <v>749</v>
      </c>
      <c r="AH296" s="20">
        <v>43</v>
      </c>
      <c r="AI296" s="20" t="s">
        <v>4797</v>
      </c>
      <c r="AJ296" s="117">
        <v>28000000</v>
      </c>
      <c r="AK296" s="20">
        <v>1</v>
      </c>
      <c r="AL296" s="99">
        <f t="shared" si="72"/>
        <v>440</v>
      </c>
      <c r="AM296" s="20">
        <f t="shared" si="74"/>
        <v>12320000000</v>
      </c>
      <c r="AN296" s="99" t="s">
        <v>3887</v>
      </c>
    </row>
    <row r="297" spans="15:44">
      <c r="Q297" s="99" t="s">
        <v>4638</v>
      </c>
      <c r="R297" s="95">
        <v>6550580</v>
      </c>
      <c r="T297" s="213" t="s">
        <v>5196</v>
      </c>
      <c r="U297" s="213">
        <v>-828</v>
      </c>
      <c r="V297" s="113">
        <v>483.43312200000003</v>
      </c>
      <c r="W297" s="113">
        <f t="shared" si="71"/>
        <v>-400282.62501600001</v>
      </c>
      <c r="X297" s="36" t="s">
        <v>452</v>
      </c>
      <c r="AH297" s="20">
        <v>44</v>
      </c>
      <c r="AI297" s="20" t="s">
        <v>4806</v>
      </c>
      <c r="AJ297" s="117">
        <v>160000</v>
      </c>
      <c r="AK297" s="20">
        <v>0</v>
      </c>
      <c r="AL297" s="99">
        <f t="shared" si="72"/>
        <v>439</v>
      </c>
      <c r="AM297" s="20">
        <f t="shared" si="74"/>
        <v>70240000</v>
      </c>
      <c r="AN297" s="99"/>
    </row>
    <row r="298" spans="15:44">
      <c r="Q298" s="99" t="s">
        <v>4640</v>
      </c>
      <c r="R298" s="95">
        <v>7054895</v>
      </c>
      <c r="T298" s="213" t="s">
        <v>5199</v>
      </c>
      <c r="U298" s="213">
        <v>12</v>
      </c>
      <c r="V298" s="113">
        <v>473.61898300000001</v>
      </c>
      <c r="W298" s="113">
        <f t="shared" si="71"/>
        <v>5683.4277959999999</v>
      </c>
      <c r="X298" s="36" t="s">
        <v>452</v>
      </c>
      <c r="AH298" s="149">
        <v>45</v>
      </c>
      <c r="AI298" s="149" t="s">
        <v>4806</v>
      </c>
      <c r="AJ298" s="188">
        <v>70000</v>
      </c>
      <c r="AK298" s="149">
        <v>9</v>
      </c>
      <c r="AL298" s="149">
        <f t="shared" si="72"/>
        <v>439</v>
      </c>
      <c r="AM298" s="149">
        <f t="shared" si="74"/>
        <v>30730000</v>
      </c>
      <c r="AN298" s="149"/>
    </row>
    <row r="299" spans="15:44">
      <c r="Q299" s="99" t="s">
        <v>4657</v>
      </c>
      <c r="R299" s="95">
        <v>2145814</v>
      </c>
      <c r="T299" s="213" t="s">
        <v>5202</v>
      </c>
      <c r="U299" s="213">
        <v>963</v>
      </c>
      <c r="V299" s="113">
        <v>477.92200000000003</v>
      </c>
      <c r="W299" s="113">
        <f t="shared" si="71"/>
        <v>460238.886</v>
      </c>
      <c r="X299" s="36" t="s">
        <v>452</v>
      </c>
      <c r="AH299" s="20">
        <v>46</v>
      </c>
      <c r="AI299" s="20" t="s">
        <v>4813</v>
      </c>
      <c r="AJ299" s="117">
        <v>850000</v>
      </c>
      <c r="AK299" s="20">
        <v>0</v>
      </c>
      <c r="AL299" s="99">
        <f t="shared" si="72"/>
        <v>430</v>
      </c>
      <c r="AM299" s="20">
        <f t="shared" si="74"/>
        <v>365500000</v>
      </c>
      <c r="AN299" s="99"/>
    </row>
    <row r="300" spans="15:44">
      <c r="Q300" s="99" t="s">
        <v>4668</v>
      </c>
      <c r="R300" s="95">
        <v>4369730</v>
      </c>
      <c r="T300" s="213" t="s">
        <v>5203</v>
      </c>
      <c r="U300" s="213">
        <v>2815</v>
      </c>
      <c r="V300" s="113">
        <v>461.79</v>
      </c>
      <c r="W300" s="113">
        <f t="shared" si="71"/>
        <v>1299938.8500000001</v>
      </c>
      <c r="X300" s="36" t="s">
        <v>452</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4670</v>
      </c>
      <c r="R301" s="95">
        <v>8739459</v>
      </c>
      <c r="T301" s="213" t="s">
        <v>5203</v>
      </c>
      <c r="U301" s="213">
        <v>1581</v>
      </c>
      <c r="V301" s="113">
        <v>461.79</v>
      </c>
      <c r="W301" s="113">
        <f t="shared" si="71"/>
        <v>730089.99</v>
      </c>
      <c r="X301" s="36" t="s">
        <v>452</v>
      </c>
      <c r="AH301" s="195">
        <v>48</v>
      </c>
      <c r="AI301" s="195" t="s">
        <v>4826</v>
      </c>
      <c r="AJ301" s="196">
        <v>30000000</v>
      </c>
      <c r="AK301" s="195">
        <v>27</v>
      </c>
      <c r="AL301" s="195">
        <f t="shared" si="75"/>
        <v>426</v>
      </c>
      <c r="AM301" s="195">
        <f t="shared" si="76"/>
        <v>12780000000</v>
      </c>
      <c r="AN301" s="195" t="s">
        <v>4827</v>
      </c>
    </row>
    <row r="302" spans="15:44">
      <c r="Q302" s="99" t="s">
        <v>4679</v>
      </c>
      <c r="R302" s="95">
        <v>6667654</v>
      </c>
      <c r="T302" s="189" t="s">
        <v>5211</v>
      </c>
      <c r="U302" s="189">
        <v>1916</v>
      </c>
      <c r="V302" s="188">
        <v>521.70000000000005</v>
      </c>
      <c r="W302" s="188">
        <f t="shared" si="71"/>
        <v>999577.20000000007</v>
      </c>
      <c r="X302" s="279" t="s">
        <v>5318</v>
      </c>
      <c r="Y302" t="s">
        <v>25</v>
      </c>
      <c r="AH302" s="20">
        <v>49</v>
      </c>
      <c r="AI302" s="20" t="s">
        <v>4902</v>
      </c>
      <c r="AJ302" s="117">
        <v>1100000</v>
      </c>
      <c r="AK302" s="20">
        <v>1</v>
      </c>
      <c r="AL302" s="20">
        <f t="shared" si="75"/>
        <v>399</v>
      </c>
      <c r="AM302" s="20">
        <f t="shared" si="76"/>
        <v>438900000</v>
      </c>
      <c r="AN302" s="20"/>
    </row>
    <row r="303" spans="15:44">
      <c r="Q303" s="99" t="s">
        <v>3680</v>
      </c>
      <c r="R303" s="95">
        <v>8981245</v>
      </c>
      <c r="T303" s="213" t="s">
        <v>989</v>
      </c>
      <c r="U303" s="213">
        <v>41</v>
      </c>
      <c r="V303" s="113">
        <v>514.48099999999999</v>
      </c>
      <c r="W303" s="113">
        <f t="shared" si="71"/>
        <v>21093.721000000001</v>
      </c>
      <c r="X303" s="36" t="s">
        <v>5188</v>
      </c>
      <c r="Y303" t="s">
        <v>25</v>
      </c>
      <c r="AH303" s="20">
        <v>50</v>
      </c>
      <c r="AI303" s="20" t="s">
        <v>4904</v>
      </c>
      <c r="AJ303" s="117">
        <v>450000</v>
      </c>
      <c r="AK303" s="20">
        <v>0</v>
      </c>
      <c r="AL303" s="20">
        <f t="shared" si="75"/>
        <v>398</v>
      </c>
      <c r="AM303" s="20">
        <f t="shared" si="76"/>
        <v>179100000</v>
      </c>
      <c r="AN303" s="20"/>
    </row>
    <row r="304" spans="15:44">
      <c r="Q304" s="99" t="s">
        <v>4691</v>
      </c>
      <c r="R304" s="95">
        <v>9181756</v>
      </c>
      <c r="T304" s="213" t="s">
        <v>4270</v>
      </c>
      <c r="U304" s="213">
        <v>71</v>
      </c>
      <c r="V304" s="113">
        <v>482.57</v>
      </c>
      <c r="W304" s="113">
        <f t="shared" si="71"/>
        <v>34262.47</v>
      </c>
      <c r="X304" s="36" t="s">
        <v>5188</v>
      </c>
      <c r="AH304" s="149">
        <v>51</v>
      </c>
      <c r="AI304" s="149" t="s">
        <v>4904</v>
      </c>
      <c r="AJ304" s="188">
        <v>550000</v>
      </c>
      <c r="AK304" s="149">
        <v>1</v>
      </c>
      <c r="AL304" s="149">
        <f t="shared" si="75"/>
        <v>398</v>
      </c>
      <c r="AM304" s="149">
        <f t="shared" si="76"/>
        <v>218900000</v>
      </c>
      <c r="AN304" s="149"/>
    </row>
    <row r="305" spans="16:40">
      <c r="Q305" s="99" t="s">
        <v>4694</v>
      </c>
      <c r="R305" s="95">
        <v>11811208</v>
      </c>
      <c r="T305" s="213" t="s">
        <v>5226</v>
      </c>
      <c r="U305" s="213">
        <v>-250</v>
      </c>
      <c r="V305" s="113">
        <v>487.125</v>
      </c>
      <c r="W305" s="113">
        <f t="shared" si="71"/>
        <v>-121781.25</v>
      </c>
      <c r="X305" s="36" t="s">
        <v>4434</v>
      </c>
      <c r="AH305" s="149">
        <v>52</v>
      </c>
      <c r="AI305" s="149" t="s">
        <v>4906</v>
      </c>
      <c r="AJ305" s="188">
        <v>1000000</v>
      </c>
      <c r="AK305" s="149">
        <v>8</v>
      </c>
      <c r="AL305" s="149">
        <f t="shared" si="75"/>
        <v>397</v>
      </c>
      <c r="AM305" s="149">
        <f t="shared" si="76"/>
        <v>397000000</v>
      </c>
      <c r="AN305" s="149"/>
    </row>
    <row r="306" spans="16:40">
      <c r="Q306" s="99" t="s">
        <v>4708</v>
      </c>
      <c r="R306" s="95">
        <v>41248054</v>
      </c>
      <c r="T306" s="213" t="s">
        <v>5226</v>
      </c>
      <c r="U306" s="213">
        <v>250</v>
      </c>
      <c r="V306" s="113">
        <v>487.125</v>
      </c>
      <c r="W306" s="113">
        <f t="shared" si="71"/>
        <v>121781.25</v>
      </c>
      <c r="X306" s="36" t="s">
        <v>749</v>
      </c>
      <c r="AH306" s="20">
        <v>53</v>
      </c>
      <c r="AI306" s="20" t="s">
        <v>4916</v>
      </c>
      <c r="AJ306" s="117">
        <v>-2668880</v>
      </c>
      <c r="AK306" s="20">
        <v>0</v>
      </c>
      <c r="AL306" s="20">
        <f t="shared" si="75"/>
        <v>389</v>
      </c>
      <c r="AM306" s="20">
        <f t="shared" si="76"/>
        <v>-1038194320</v>
      </c>
      <c r="AN306" s="20" t="s">
        <v>4918</v>
      </c>
    </row>
    <row r="307" spans="16:40">
      <c r="Q307" s="99" t="s">
        <v>4715</v>
      </c>
      <c r="R307" s="95">
        <v>37328780</v>
      </c>
      <c r="T307" s="213" t="s">
        <v>5234</v>
      </c>
      <c r="U307" s="213">
        <v>-1439</v>
      </c>
      <c r="V307" s="113">
        <v>486.53068999999999</v>
      </c>
      <c r="W307" s="113">
        <f t="shared" si="71"/>
        <v>-700117.66290999996</v>
      </c>
      <c r="X307" s="36" t="s">
        <v>4434</v>
      </c>
      <c r="AH307" s="149">
        <v>54</v>
      </c>
      <c r="AI307" s="149" t="s">
        <v>4916</v>
      </c>
      <c r="AJ307" s="188">
        <v>-1528620</v>
      </c>
      <c r="AK307" s="149">
        <v>0</v>
      </c>
      <c r="AL307" s="149">
        <f t="shared" si="75"/>
        <v>389</v>
      </c>
      <c r="AM307" s="149">
        <f t="shared" si="76"/>
        <v>-594633180</v>
      </c>
      <c r="AN307" s="149" t="s">
        <v>4918</v>
      </c>
    </row>
    <row r="308" spans="16:40">
      <c r="Q308" s="99" t="s">
        <v>4721</v>
      </c>
      <c r="R308" s="95">
        <v>50000000</v>
      </c>
      <c r="T308" s="213" t="s">
        <v>5234</v>
      </c>
      <c r="U308" s="213">
        <v>411</v>
      </c>
      <c r="V308" s="113">
        <v>486.53068999999999</v>
      </c>
      <c r="W308" s="113">
        <f t="shared" si="71"/>
        <v>199964.11358999999</v>
      </c>
      <c r="X308" s="36" t="s">
        <v>749</v>
      </c>
      <c r="AH308" s="20">
        <v>55</v>
      </c>
      <c r="AI308" s="20" t="s">
        <v>4916</v>
      </c>
      <c r="AJ308" s="117">
        <v>50000000</v>
      </c>
      <c r="AK308" s="20">
        <v>4</v>
      </c>
      <c r="AL308" s="20">
        <f t="shared" si="75"/>
        <v>389</v>
      </c>
      <c r="AM308" s="20">
        <f t="shared" si="76"/>
        <v>19450000000</v>
      </c>
      <c r="AN308" s="20"/>
    </row>
    <row r="309" spans="16:40">
      <c r="Q309" s="99" t="s">
        <v>4783</v>
      </c>
      <c r="R309" s="95">
        <v>68656</v>
      </c>
      <c r="T309" s="213" t="s">
        <v>5201</v>
      </c>
      <c r="U309" s="213">
        <v>-4290</v>
      </c>
      <c r="V309" s="113">
        <v>497.57670000000002</v>
      </c>
      <c r="W309" s="113">
        <f t="shared" si="71"/>
        <v>-2134604.0430000001</v>
      </c>
      <c r="X309" s="36" t="s">
        <v>452</v>
      </c>
      <c r="AH309" s="20">
        <v>56</v>
      </c>
      <c r="AI309" s="20" t="s">
        <v>4922</v>
      </c>
      <c r="AJ309" s="117">
        <v>400000</v>
      </c>
      <c r="AK309" s="20">
        <v>4</v>
      </c>
      <c r="AL309" s="20">
        <f t="shared" ref="AL309:AL318" si="77">AK309+AL310</f>
        <v>385</v>
      </c>
      <c r="AM309" s="20">
        <f t="shared" ref="AM309:AM318" si="78">AJ309*AL309</f>
        <v>154000000</v>
      </c>
      <c r="AN309" s="20"/>
    </row>
    <row r="310" spans="16:40">
      <c r="Q310" s="99" t="s">
        <v>4792</v>
      </c>
      <c r="R310" s="95">
        <v>4000236</v>
      </c>
      <c r="T310" s="213" t="s">
        <v>5242</v>
      </c>
      <c r="U310" s="213">
        <v>-644</v>
      </c>
      <c r="V310" s="113">
        <v>494.76464499999997</v>
      </c>
      <c r="W310" s="113">
        <f t="shared" si="71"/>
        <v>-318628.43137999997</v>
      </c>
      <c r="X310" s="36" t="s">
        <v>452</v>
      </c>
      <c r="AH310" s="20">
        <v>57</v>
      </c>
      <c r="AI310" s="20" t="s">
        <v>4934</v>
      </c>
      <c r="AJ310" s="117">
        <v>2000000</v>
      </c>
      <c r="AK310" s="20">
        <v>3</v>
      </c>
      <c r="AL310" s="20">
        <f t="shared" si="77"/>
        <v>381</v>
      </c>
      <c r="AM310" s="20">
        <f t="shared" si="78"/>
        <v>762000000</v>
      </c>
      <c r="AN310" s="20"/>
    </row>
    <row r="311" spans="16:40">
      <c r="P311" t="s">
        <v>25</v>
      </c>
      <c r="Q311" s="99" t="s">
        <v>4792</v>
      </c>
      <c r="R311" s="95">
        <v>2250000</v>
      </c>
      <c r="T311" s="213" t="s">
        <v>5245</v>
      </c>
      <c r="U311" s="213">
        <v>-112</v>
      </c>
      <c r="V311" s="113">
        <v>485.78</v>
      </c>
      <c r="W311" s="113">
        <f t="shared" si="71"/>
        <v>-54407.360000000001</v>
      </c>
      <c r="X311" s="36" t="s">
        <v>452</v>
      </c>
      <c r="AH311" s="20">
        <v>58</v>
      </c>
      <c r="AI311" s="20" t="s">
        <v>4937</v>
      </c>
      <c r="AJ311" s="117">
        <v>100000</v>
      </c>
      <c r="AK311" s="20">
        <v>4</v>
      </c>
      <c r="AL311" s="20">
        <f t="shared" si="77"/>
        <v>378</v>
      </c>
      <c r="AM311" s="20">
        <f t="shared" si="78"/>
        <v>37800000</v>
      </c>
      <c r="AN311" s="20" t="s">
        <v>3887</v>
      </c>
    </row>
    <row r="312" spans="16:40">
      <c r="P312" t="s">
        <v>25</v>
      </c>
      <c r="Q312" s="99" t="s">
        <v>4797</v>
      </c>
      <c r="R312" s="95">
        <v>-2512200</v>
      </c>
      <c r="T312" s="213" t="s">
        <v>5245</v>
      </c>
      <c r="U312" s="213">
        <v>123</v>
      </c>
      <c r="V312" s="113">
        <v>485.78</v>
      </c>
      <c r="W312" s="113">
        <f t="shared" si="71"/>
        <v>59750.939999999995</v>
      </c>
      <c r="X312" s="36" t="s">
        <v>749</v>
      </c>
      <c r="AH312" s="20">
        <v>59</v>
      </c>
      <c r="AI312" s="20" t="s">
        <v>4946</v>
      </c>
      <c r="AJ312" s="117">
        <v>100000</v>
      </c>
      <c r="AK312" s="20">
        <v>7</v>
      </c>
      <c r="AL312" s="20">
        <f t="shared" si="77"/>
        <v>374</v>
      </c>
      <c r="AM312" s="20">
        <f t="shared" si="78"/>
        <v>37400000</v>
      </c>
      <c r="AN312" s="20"/>
    </row>
    <row r="313" spans="16:40">
      <c r="Q313" s="99" t="s">
        <v>4806</v>
      </c>
      <c r="R313" s="95">
        <v>300000</v>
      </c>
      <c r="T313" s="213" t="s">
        <v>5245</v>
      </c>
      <c r="U313" s="213">
        <v>-123</v>
      </c>
      <c r="V313" s="113">
        <v>485.78</v>
      </c>
      <c r="W313" s="113">
        <f t="shared" si="71"/>
        <v>-59750.939999999995</v>
      </c>
      <c r="X313" s="36" t="s">
        <v>4434</v>
      </c>
      <c r="AH313" s="20">
        <v>60</v>
      </c>
      <c r="AI313" s="20" t="s">
        <v>4959</v>
      </c>
      <c r="AJ313" s="117">
        <v>50000</v>
      </c>
      <c r="AK313" s="20">
        <v>0</v>
      </c>
      <c r="AL313" s="20">
        <f t="shared" si="77"/>
        <v>367</v>
      </c>
      <c r="AM313" s="20">
        <f t="shared" si="78"/>
        <v>18350000</v>
      </c>
      <c r="AN313" s="20"/>
    </row>
    <row r="314" spans="16:40">
      <c r="Q314" s="99" t="s">
        <v>978</v>
      </c>
      <c r="R314" s="95">
        <v>1100000</v>
      </c>
      <c r="S314" s="114"/>
      <c r="T314" s="213" t="s">
        <v>5291</v>
      </c>
      <c r="U314" s="213">
        <v>32367</v>
      </c>
      <c r="V314" s="113">
        <v>556.12900000000002</v>
      </c>
      <c r="W314" s="113">
        <f t="shared" si="71"/>
        <v>18000227.343000002</v>
      </c>
      <c r="X314" s="36" t="s">
        <v>452</v>
      </c>
      <c r="AH314" s="149">
        <v>61</v>
      </c>
      <c r="AI314" s="149" t="s">
        <v>4959</v>
      </c>
      <c r="AJ314" s="188">
        <v>50000</v>
      </c>
      <c r="AK314" s="149">
        <v>3</v>
      </c>
      <c r="AL314" s="149">
        <f t="shared" si="77"/>
        <v>367</v>
      </c>
      <c r="AM314" s="149">
        <f t="shared" si="78"/>
        <v>18350000</v>
      </c>
      <c r="AN314" s="149"/>
    </row>
    <row r="315" spans="16:40">
      <c r="Q315" s="99" t="s">
        <v>4813</v>
      </c>
      <c r="R315" s="95">
        <v>890000</v>
      </c>
      <c r="T315" s="213" t="s">
        <v>5307</v>
      </c>
      <c r="U315" s="213">
        <v>1254</v>
      </c>
      <c r="V315" s="113">
        <v>558.24400000000003</v>
      </c>
      <c r="W315" s="113">
        <f t="shared" si="71"/>
        <v>700037.97600000002</v>
      </c>
      <c r="X315" s="36" t="s">
        <v>4434</v>
      </c>
      <c r="AH315" s="20">
        <v>62</v>
      </c>
      <c r="AI315" s="20" t="s">
        <v>4963</v>
      </c>
      <c r="AJ315" s="117">
        <v>50000</v>
      </c>
      <c r="AK315" s="20">
        <v>0</v>
      </c>
      <c r="AL315" s="20">
        <f t="shared" si="77"/>
        <v>364</v>
      </c>
      <c r="AM315" s="20">
        <f t="shared" si="78"/>
        <v>18200000</v>
      </c>
      <c r="AN315" s="20"/>
    </row>
    <row r="316" spans="16:40">
      <c r="Q316" s="99" t="s">
        <v>4833</v>
      </c>
      <c r="R316" s="95">
        <v>1000000</v>
      </c>
      <c r="T316" s="168" t="s">
        <v>5307</v>
      </c>
      <c r="U316" s="213">
        <v>-358</v>
      </c>
      <c r="V316" s="113">
        <v>558.24400000000003</v>
      </c>
      <c r="W316" s="113">
        <f t="shared" si="71"/>
        <v>-199851.35200000001</v>
      </c>
      <c r="X316" s="36" t="s">
        <v>749</v>
      </c>
      <c r="AH316" s="195">
        <v>63</v>
      </c>
      <c r="AI316" s="195" t="s">
        <v>4963</v>
      </c>
      <c r="AJ316" s="196">
        <v>50000</v>
      </c>
      <c r="AK316" s="195">
        <v>2</v>
      </c>
      <c r="AL316" s="195">
        <f t="shared" si="77"/>
        <v>364</v>
      </c>
      <c r="AM316" s="195">
        <f t="shared" si="78"/>
        <v>18200000</v>
      </c>
      <c r="AN316" s="195"/>
    </row>
    <row r="317" spans="16:40">
      <c r="Q317" s="99" t="s">
        <v>4834</v>
      </c>
      <c r="R317" s="95">
        <v>45436311</v>
      </c>
      <c r="T317" s="189" t="s">
        <v>5316</v>
      </c>
      <c r="U317" s="189">
        <v>-3326</v>
      </c>
      <c r="V317" s="188">
        <v>601.39300000000003</v>
      </c>
      <c r="W317" s="188">
        <f t="shared" si="71"/>
        <v>-2000233.118</v>
      </c>
      <c r="X317" s="279" t="s">
        <v>5154</v>
      </c>
      <c r="AH317" s="20">
        <v>64</v>
      </c>
      <c r="AI317" s="20" t="s">
        <v>4971</v>
      </c>
      <c r="AJ317" s="117">
        <v>25000</v>
      </c>
      <c r="AK317" s="20">
        <v>0</v>
      </c>
      <c r="AL317" s="20">
        <f t="shared" si="77"/>
        <v>362</v>
      </c>
      <c r="AM317" s="20">
        <f t="shared" si="78"/>
        <v>9050000</v>
      </c>
      <c r="AN317" s="20"/>
    </row>
    <row r="318" spans="16:40">
      <c r="Q318" s="99" t="s">
        <v>4834</v>
      </c>
      <c r="R318" s="95">
        <v>-3500000</v>
      </c>
      <c r="T318" s="189" t="s">
        <v>5319</v>
      </c>
      <c r="U318" s="189">
        <v>3326</v>
      </c>
      <c r="V318" s="188">
        <v>601.39300000000003</v>
      </c>
      <c r="W318" s="188">
        <f t="shared" si="71"/>
        <v>2000233.118</v>
      </c>
      <c r="X318" s="279" t="s">
        <v>5154</v>
      </c>
      <c r="Y318" t="s">
        <v>25</v>
      </c>
      <c r="AH318" s="149">
        <v>65</v>
      </c>
      <c r="AI318" s="149" t="s">
        <v>4971</v>
      </c>
      <c r="AJ318" s="188">
        <v>35000</v>
      </c>
      <c r="AK318" s="149">
        <v>7</v>
      </c>
      <c r="AL318" s="149">
        <f t="shared" si="77"/>
        <v>362</v>
      </c>
      <c r="AM318" s="149">
        <f t="shared" si="78"/>
        <v>12670000</v>
      </c>
      <c r="AN318" s="149"/>
    </row>
    <row r="319" spans="16:40">
      <c r="Q319" s="99" t="s">
        <v>4847</v>
      </c>
      <c r="R319" s="95">
        <v>2520000</v>
      </c>
      <c r="T319" s="189" t="s">
        <v>5332</v>
      </c>
      <c r="U319" s="189">
        <v>63259</v>
      </c>
      <c r="V319" s="188">
        <v>632.31960000000004</v>
      </c>
      <c r="W319" s="188">
        <f t="shared" si="71"/>
        <v>39999905.576400004</v>
      </c>
      <c r="X319" s="279" t="s">
        <v>1083</v>
      </c>
      <c r="AH319" s="149">
        <v>66</v>
      </c>
      <c r="AI319" s="149" t="s">
        <v>4979</v>
      </c>
      <c r="AJ319" s="188">
        <v>30000000</v>
      </c>
      <c r="AK319" s="149">
        <v>0</v>
      </c>
      <c r="AL319" s="149">
        <f t="shared" ref="AL319:AL338" si="79">AK319+AL320</f>
        <v>355</v>
      </c>
      <c r="AM319" s="149">
        <f t="shared" ref="AM319:AM338" si="80">AJ319*AL319</f>
        <v>10650000000</v>
      </c>
      <c r="AN319" s="149"/>
    </row>
    <row r="320" spans="16:40">
      <c r="Q320" s="99" t="s">
        <v>4882</v>
      </c>
      <c r="R320" s="95">
        <v>4900000</v>
      </c>
      <c r="T320" s="19" t="s">
        <v>5337</v>
      </c>
      <c r="U320" s="19">
        <v>-1278</v>
      </c>
      <c r="V320" s="117">
        <v>625.98</v>
      </c>
      <c r="W320" s="117">
        <f t="shared" si="71"/>
        <v>-800002.44000000006</v>
      </c>
      <c r="X320" s="280" t="s">
        <v>5338</v>
      </c>
      <c r="AH320" s="20">
        <v>67</v>
      </c>
      <c r="AI320" s="20" t="s">
        <v>4979</v>
      </c>
      <c r="AJ320" s="117">
        <v>6800000</v>
      </c>
      <c r="AK320" s="20">
        <v>1</v>
      </c>
      <c r="AL320" s="20">
        <f t="shared" si="79"/>
        <v>355</v>
      </c>
      <c r="AM320" s="20">
        <f t="shared" si="80"/>
        <v>2414000000</v>
      </c>
      <c r="AN320" s="20"/>
    </row>
    <row r="321" spans="17:44">
      <c r="Q321" s="99" t="s">
        <v>4902</v>
      </c>
      <c r="R321" s="95">
        <v>1150000</v>
      </c>
      <c r="T321" s="19" t="s">
        <v>5343</v>
      </c>
      <c r="U321" s="19">
        <v>32049</v>
      </c>
      <c r="V321" s="117">
        <v>624.04600000000005</v>
      </c>
      <c r="W321" s="117">
        <f t="shared" si="71"/>
        <v>20000050.254000001</v>
      </c>
      <c r="X321" s="280" t="s">
        <v>5193</v>
      </c>
      <c r="AH321" s="20">
        <v>68</v>
      </c>
      <c r="AI321" s="20" t="s">
        <v>4982</v>
      </c>
      <c r="AJ321" s="117">
        <v>500000</v>
      </c>
      <c r="AK321" s="20">
        <v>1</v>
      </c>
      <c r="AL321" s="20">
        <f t="shared" si="79"/>
        <v>354</v>
      </c>
      <c r="AM321" s="20">
        <f t="shared" si="80"/>
        <v>177000000</v>
      </c>
      <c r="AN321" s="20"/>
    </row>
    <row r="322" spans="17:44" ht="30">
      <c r="Q322" s="99" t="s">
        <v>4854</v>
      </c>
      <c r="R322" s="95">
        <v>250000</v>
      </c>
      <c r="T322" s="19" t="s">
        <v>5353</v>
      </c>
      <c r="U322" s="19">
        <v>45094</v>
      </c>
      <c r="V322" s="117">
        <v>614.13559759999998</v>
      </c>
      <c r="W322" s="117">
        <f t="shared" si="71"/>
        <v>27693830.6381744</v>
      </c>
      <c r="X322" s="280" t="s">
        <v>5355</v>
      </c>
      <c r="AH322" s="20">
        <v>69</v>
      </c>
      <c r="AI322" s="20" t="s">
        <v>4988</v>
      </c>
      <c r="AJ322" s="117">
        <v>850000</v>
      </c>
      <c r="AK322" s="20">
        <v>5</v>
      </c>
      <c r="AL322" s="20">
        <f t="shared" si="79"/>
        <v>353</v>
      </c>
      <c r="AM322" s="20">
        <f t="shared" si="80"/>
        <v>300050000</v>
      </c>
      <c r="AN322" s="20"/>
    </row>
    <row r="323" spans="17:44" ht="30">
      <c r="Q323" s="99" t="s">
        <v>4943</v>
      </c>
      <c r="R323" s="95">
        <v>1403460</v>
      </c>
      <c r="T323" s="19" t="s">
        <v>5383</v>
      </c>
      <c r="U323" s="19">
        <v>-11804</v>
      </c>
      <c r="V323" s="117">
        <v>762.46640000000002</v>
      </c>
      <c r="W323" s="117">
        <f t="shared" si="71"/>
        <v>-9000153.3856000006</v>
      </c>
      <c r="X323" s="280" t="s">
        <v>5385</v>
      </c>
      <c r="AH323" s="20">
        <v>70</v>
      </c>
      <c r="AI323" s="20" t="s">
        <v>4997</v>
      </c>
      <c r="AJ323" s="117">
        <v>1130250</v>
      </c>
      <c r="AK323" s="20">
        <v>0</v>
      </c>
      <c r="AL323" s="20">
        <f t="shared" si="79"/>
        <v>348</v>
      </c>
      <c r="AM323" s="20">
        <f t="shared" si="80"/>
        <v>393327000</v>
      </c>
      <c r="AN323" s="20"/>
    </row>
    <row r="324" spans="17:44">
      <c r="Q324" s="99" t="s">
        <v>4946</v>
      </c>
      <c r="R324" s="95">
        <v>200000</v>
      </c>
      <c r="T324" s="19" t="s">
        <v>5428</v>
      </c>
      <c r="U324" s="19">
        <v>844</v>
      </c>
      <c r="V324" s="117">
        <v>830</v>
      </c>
      <c r="W324" s="117">
        <f t="shared" si="71"/>
        <v>700520</v>
      </c>
      <c r="X324" s="280" t="s">
        <v>4434</v>
      </c>
      <c r="Y324" t="s">
        <v>25</v>
      </c>
      <c r="AH324" s="256">
        <v>71</v>
      </c>
      <c r="AI324" s="256" t="s">
        <v>4997</v>
      </c>
      <c r="AJ324" s="247">
        <v>30000</v>
      </c>
      <c r="AK324" s="256">
        <v>5</v>
      </c>
      <c r="AL324" s="256">
        <f t="shared" si="79"/>
        <v>348</v>
      </c>
      <c r="AM324" s="256">
        <f t="shared" si="80"/>
        <v>10440000</v>
      </c>
      <c r="AN324" s="256"/>
    </row>
    <row r="325" spans="17:44">
      <c r="Q325" s="99" t="s">
        <v>4951</v>
      </c>
      <c r="R325" s="95">
        <v>345000</v>
      </c>
      <c r="T325" s="19" t="s">
        <v>5432</v>
      </c>
      <c r="U325" s="19">
        <v>8662</v>
      </c>
      <c r="V325" s="117">
        <v>832.57011999999997</v>
      </c>
      <c r="W325" s="117">
        <f t="shared" si="71"/>
        <v>7211722.3794399993</v>
      </c>
      <c r="X325" s="280" t="s">
        <v>5188</v>
      </c>
      <c r="AH325" s="20">
        <v>72</v>
      </c>
      <c r="AI325" s="20" t="s">
        <v>5005</v>
      </c>
      <c r="AJ325" s="117">
        <v>206000</v>
      </c>
      <c r="AK325" s="20">
        <v>0</v>
      </c>
      <c r="AL325" s="20">
        <f t="shared" si="79"/>
        <v>343</v>
      </c>
      <c r="AM325" s="20">
        <f t="shared" si="80"/>
        <v>70658000</v>
      </c>
      <c r="AN325" s="20"/>
    </row>
    <row r="326" spans="17:44" ht="30">
      <c r="Q326" s="99" t="s">
        <v>4956</v>
      </c>
      <c r="R326" s="95">
        <v>900000</v>
      </c>
      <c r="T326" s="19" t="s">
        <v>5433</v>
      </c>
      <c r="U326" s="19">
        <v>10253</v>
      </c>
      <c r="V326" s="117">
        <v>827.2568</v>
      </c>
      <c r="W326" s="117">
        <f t="shared" si="71"/>
        <v>8481863.9704</v>
      </c>
      <c r="X326" s="280" t="s">
        <v>5440</v>
      </c>
      <c r="AH326" s="149">
        <v>73</v>
      </c>
      <c r="AI326" s="149" t="s">
        <v>5005</v>
      </c>
      <c r="AJ326" s="188">
        <v>206000</v>
      </c>
      <c r="AK326" s="149">
        <v>2</v>
      </c>
      <c r="AL326" s="149">
        <f t="shared" si="79"/>
        <v>343</v>
      </c>
      <c r="AM326" s="149">
        <f t="shared" si="80"/>
        <v>70658000</v>
      </c>
      <c r="AN326" s="149"/>
    </row>
    <row r="327" spans="17:44">
      <c r="Q327" s="99" t="s">
        <v>4959</v>
      </c>
      <c r="R327" s="95">
        <v>372517</v>
      </c>
      <c r="T327" s="246" t="s">
        <v>5441</v>
      </c>
      <c r="U327" s="246">
        <v>-33077</v>
      </c>
      <c r="V327" s="247">
        <v>786.02973999999995</v>
      </c>
      <c r="W327" s="247">
        <f t="shared" si="71"/>
        <v>-25999505.70998</v>
      </c>
      <c r="X327" s="288" t="s">
        <v>5444</v>
      </c>
      <c r="AH327" s="20">
        <v>74</v>
      </c>
      <c r="AI327" s="20" t="s">
        <v>5012</v>
      </c>
      <c r="AJ327" s="117">
        <v>50000</v>
      </c>
      <c r="AK327" s="20">
        <v>0</v>
      </c>
      <c r="AL327" s="20">
        <f t="shared" si="79"/>
        <v>341</v>
      </c>
      <c r="AM327" s="20">
        <f t="shared" si="80"/>
        <v>17050000</v>
      </c>
      <c r="AN327" s="20"/>
    </row>
    <row r="328" spans="17:44">
      <c r="Q328" s="99" t="s">
        <v>4969</v>
      </c>
      <c r="R328" s="95">
        <v>6489257</v>
      </c>
      <c r="T328" s="19" t="s">
        <v>5441</v>
      </c>
      <c r="U328" s="19">
        <v>-33077</v>
      </c>
      <c r="V328" s="117">
        <v>786.02973999999995</v>
      </c>
      <c r="W328" s="117">
        <f t="shared" si="71"/>
        <v>-25999505.70998</v>
      </c>
      <c r="X328" s="280" t="s">
        <v>5445</v>
      </c>
      <c r="AH328" s="256">
        <v>75</v>
      </c>
      <c r="AI328" s="256" t="s">
        <v>5012</v>
      </c>
      <c r="AJ328" s="247">
        <v>50000</v>
      </c>
      <c r="AK328" s="256">
        <v>2</v>
      </c>
      <c r="AL328" s="256">
        <f t="shared" si="79"/>
        <v>341</v>
      </c>
      <c r="AM328" s="256">
        <f t="shared" si="80"/>
        <v>17050000</v>
      </c>
      <c r="AN328" s="256"/>
    </row>
    <row r="329" spans="17:44">
      <c r="Q329" s="99" t="s">
        <v>5005</v>
      </c>
      <c r="R329" s="95">
        <v>618000</v>
      </c>
      <c r="T329" s="19" t="s">
        <v>5441</v>
      </c>
      <c r="U329" s="19">
        <v>1983</v>
      </c>
      <c r="V329" s="117">
        <v>786.02973999999995</v>
      </c>
      <c r="W329" s="117">
        <f t="shared" si="71"/>
        <v>1558696.9744199999</v>
      </c>
      <c r="X329" s="280" t="s">
        <v>5188</v>
      </c>
      <c r="AH329" s="20">
        <v>76</v>
      </c>
      <c r="AI329" s="20" t="s">
        <v>5016</v>
      </c>
      <c r="AJ329" s="117">
        <v>20000000</v>
      </c>
      <c r="AK329" s="20">
        <v>7</v>
      </c>
      <c r="AL329" s="20">
        <f t="shared" si="79"/>
        <v>339</v>
      </c>
      <c r="AM329" s="20">
        <f t="shared" si="80"/>
        <v>6780000000</v>
      </c>
      <c r="AN329" s="20" t="s">
        <v>5017</v>
      </c>
    </row>
    <row r="330" spans="17:44">
      <c r="Q330" s="99" t="s">
        <v>5016</v>
      </c>
      <c r="R330" s="95">
        <v>20105000</v>
      </c>
      <c r="T330" s="246" t="s">
        <v>5446</v>
      </c>
      <c r="U330" s="246">
        <v>-119753</v>
      </c>
      <c r="V330" s="247">
        <v>800.81560000000002</v>
      </c>
      <c r="W330" s="247">
        <f t="shared" si="71"/>
        <v>-95900070.546800002</v>
      </c>
      <c r="X330" s="288" t="s">
        <v>5444</v>
      </c>
      <c r="AH330" s="20">
        <v>77</v>
      </c>
      <c r="AI330" s="20" t="s">
        <v>5027</v>
      </c>
      <c r="AJ330" s="117">
        <v>50000</v>
      </c>
      <c r="AK330" s="20">
        <v>0</v>
      </c>
      <c r="AL330" s="20">
        <f t="shared" si="79"/>
        <v>332</v>
      </c>
      <c r="AM330" s="20">
        <f t="shared" si="80"/>
        <v>16600000</v>
      </c>
      <c r="AN330" s="20"/>
    </row>
    <row r="331" spans="17:44">
      <c r="Q331" s="99" t="s">
        <v>5020</v>
      </c>
      <c r="R331" s="95">
        <v>-21079990</v>
      </c>
      <c r="T331" s="19" t="s">
        <v>5446</v>
      </c>
      <c r="U331" s="19">
        <v>-119753</v>
      </c>
      <c r="V331" s="117">
        <v>800.81560000000002</v>
      </c>
      <c r="W331" s="117">
        <f t="shared" si="71"/>
        <v>-95900070.546800002</v>
      </c>
      <c r="X331" s="280" t="s">
        <v>5445</v>
      </c>
      <c r="AH331" s="149">
        <v>78</v>
      </c>
      <c r="AI331" s="149" t="s">
        <v>5027</v>
      </c>
      <c r="AJ331" s="188">
        <v>50000</v>
      </c>
      <c r="AK331" s="149">
        <v>7</v>
      </c>
      <c r="AL331" s="149">
        <f t="shared" si="79"/>
        <v>332</v>
      </c>
      <c r="AM331" s="149">
        <f t="shared" si="80"/>
        <v>16600000</v>
      </c>
      <c r="AN331" s="149"/>
    </row>
    <row r="332" spans="17:44">
      <c r="Q332" s="99" t="s">
        <v>5021</v>
      </c>
      <c r="R332" s="95">
        <v>-5949277</v>
      </c>
      <c r="T332" s="19" t="s">
        <v>5446</v>
      </c>
      <c r="U332" s="19">
        <v>11291</v>
      </c>
      <c r="V332" s="117">
        <v>800.81560000000002</v>
      </c>
      <c r="W332" s="117">
        <f t="shared" si="71"/>
        <v>9042008.9396000002</v>
      </c>
      <c r="X332" s="280" t="s">
        <v>452</v>
      </c>
      <c r="Z332" t="s">
        <v>25</v>
      </c>
      <c r="AH332" s="20">
        <v>79</v>
      </c>
      <c r="AI332" s="20" t="s">
        <v>5033</v>
      </c>
      <c r="AJ332" s="117">
        <v>2480000</v>
      </c>
      <c r="AK332" s="20">
        <v>0</v>
      </c>
      <c r="AL332" s="20">
        <f t="shared" si="79"/>
        <v>325</v>
      </c>
      <c r="AM332" s="20">
        <f t="shared" si="80"/>
        <v>806000000</v>
      </c>
      <c r="AN332" s="20"/>
      <c r="AR332" t="s">
        <v>25</v>
      </c>
    </row>
    <row r="333" spans="17:44">
      <c r="Q333" s="99" t="s">
        <v>5027</v>
      </c>
      <c r="R333" s="95">
        <v>-15370656</v>
      </c>
      <c r="T333" s="189" t="s">
        <v>5447</v>
      </c>
      <c r="U333" s="189">
        <v>-35361</v>
      </c>
      <c r="V333" s="188">
        <v>818.697</v>
      </c>
      <c r="W333" s="188">
        <f t="shared" si="71"/>
        <v>-28949944.616999999</v>
      </c>
      <c r="X333" s="279" t="s">
        <v>5444</v>
      </c>
      <c r="AH333" s="149">
        <v>80</v>
      </c>
      <c r="AI333" s="149" t="s">
        <v>5033</v>
      </c>
      <c r="AJ333" s="188">
        <v>2480000</v>
      </c>
      <c r="AK333" s="149">
        <v>12</v>
      </c>
      <c r="AL333" s="149">
        <f t="shared" si="79"/>
        <v>325</v>
      </c>
      <c r="AM333" s="149">
        <f t="shared" si="80"/>
        <v>806000000</v>
      </c>
      <c r="AN333" s="149"/>
    </row>
    <row r="334" spans="17:44">
      <c r="Q334" s="99" t="s">
        <v>5033</v>
      </c>
      <c r="R334" s="95">
        <v>4960000</v>
      </c>
      <c r="T334" s="19" t="s">
        <v>5447</v>
      </c>
      <c r="U334" s="19">
        <v>-35361</v>
      </c>
      <c r="V334" s="117">
        <v>818.697</v>
      </c>
      <c r="W334" s="117">
        <f t="shared" si="71"/>
        <v>-28949944.616999999</v>
      </c>
      <c r="X334" s="280" t="s">
        <v>5445</v>
      </c>
      <c r="AH334" s="20">
        <v>81</v>
      </c>
      <c r="AI334" s="20" t="s">
        <v>5040</v>
      </c>
      <c r="AJ334" s="117">
        <v>-24159500</v>
      </c>
      <c r="AK334" s="20">
        <v>4</v>
      </c>
      <c r="AL334" s="20">
        <f t="shared" si="79"/>
        <v>313</v>
      </c>
      <c r="AM334" s="20">
        <f t="shared" si="80"/>
        <v>-7561923500</v>
      </c>
      <c r="AN334" s="20" t="s">
        <v>5048</v>
      </c>
    </row>
    <row r="335" spans="17:44">
      <c r="Q335" s="99" t="s">
        <v>5033</v>
      </c>
      <c r="R335" s="95">
        <v>10000000</v>
      </c>
      <c r="T335" s="19" t="s">
        <v>5447</v>
      </c>
      <c r="U335" s="19">
        <v>116</v>
      </c>
      <c r="V335" s="117">
        <v>818.697</v>
      </c>
      <c r="W335" s="117">
        <f t="shared" si="71"/>
        <v>94968.851999999999</v>
      </c>
      <c r="X335" s="280" t="s">
        <v>5188</v>
      </c>
      <c r="AH335" s="20">
        <v>82</v>
      </c>
      <c r="AI335" s="20" t="s">
        <v>5050</v>
      </c>
      <c r="AJ335" s="117">
        <v>400000</v>
      </c>
      <c r="AK335" s="20">
        <v>3</v>
      </c>
      <c r="AL335" s="20">
        <f t="shared" si="79"/>
        <v>309</v>
      </c>
      <c r="AM335" s="20">
        <f t="shared" si="80"/>
        <v>123600000</v>
      </c>
      <c r="AN335" s="20"/>
    </row>
    <row r="336" spans="17:44">
      <c r="Q336" s="99" t="s">
        <v>5040</v>
      </c>
      <c r="R336" s="95">
        <v>-40570100</v>
      </c>
      <c r="T336" s="19" t="s">
        <v>5453</v>
      </c>
      <c r="U336" s="19">
        <v>48633</v>
      </c>
      <c r="V336" s="117">
        <v>822.47199999999998</v>
      </c>
      <c r="W336" s="117">
        <f t="shared" si="71"/>
        <v>39999280.776000001</v>
      </c>
      <c r="X336" s="280" t="s">
        <v>5457</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5049</v>
      </c>
      <c r="R337" s="95">
        <v>1000000</v>
      </c>
      <c r="T337" s="19" t="s">
        <v>5453</v>
      </c>
      <c r="U337" s="19">
        <v>3412</v>
      </c>
      <c r="V337" s="117">
        <v>822.47199999999998</v>
      </c>
      <c r="W337" s="117">
        <f t="shared" si="71"/>
        <v>2806274.4640000002</v>
      </c>
      <c r="X337" s="280" t="s">
        <v>5459</v>
      </c>
      <c r="AH337" s="20">
        <v>84</v>
      </c>
      <c r="AI337" s="20" t="s">
        <v>5057</v>
      </c>
      <c r="AJ337" s="117">
        <v>40000</v>
      </c>
      <c r="AK337" s="20">
        <v>5</v>
      </c>
      <c r="AL337" s="20">
        <f t="shared" si="79"/>
        <v>306</v>
      </c>
      <c r="AM337" s="20">
        <f t="shared" si="80"/>
        <v>12240000</v>
      </c>
      <c r="AN337" s="20"/>
      <c r="AS337" t="s">
        <v>25</v>
      </c>
    </row>
    <row r="338" spans="17:46">
      <c r="Q338" s="99" t="s">
        <v>5050</v>
      </c>
      <c r="R338" s="95">
        <v>400000</v>
      </c>
      <c r="T338" s="19" t="s">
        <v>5454</v>
      </c>
      <c r="U338" s="19">
        <v>1531</v>
      </c>
      <c r="V338" s="117">
        <v>869.82500000000005</v>
      </c>
      <c r="W338" s="117">
        <f t="shared" si="71"/>
        <v>1331702.075</v>
      </c>
      <c r="X338" s="280" t="s">
        <v>5460</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5057</v>
      </c>
      <c r="R339" s="95">
        <v>120000</v>
      </c>
      <c r="T339" s="172" t="s">
        <v>5463</v>
      </c>
      <c r="U339" s="172">
        <v>2394</v>
      </c>
      <c r="V339" s="170">
        <v>835.36580000000004</v>
      </c>
      <c r="W339" s="170">
        <f t="shared" si="71"/>
        <v>1999865.7252</v>
      </c>
      <c r="X339" s="289" t="s">
        <v>5465</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5074</v>
      </c>
      <c r="R340" s="95">
        <v>500000</v>
      </c>
      <c r="T340" s="19" t="s">
        <v>5463</v>
      </c>
      <c r="U340" s="19">
        <v>1019</v>
      </c>
      <c r="V340" s="117">
        <v>835.36580000000004</v>
      </c>
      <c r="W340" s="117">
        <f t="shared" si="71"/>
        <v>851237.75020000001</v>
      </c>
      <c r="X340" s="280" t="s">
        <v>452</v>
      </c>
      <c r="AH340" s="20">
        <v>87</v>
      </c>
      <c r="AI340" s="20" t="s">
        <v>5074</v>
      </c>
      <c r="AJ340" s="117">
        <v>500000</v>
      </c>
      <c r="AK340" s="20">
        <v>3</v>
      </c>
      <c r="AL340" s="20">
        <f t="shared" si="81"/>
        <v>298</v>
      </c>
      <c r="AM340" s="20">
        <f t="shared" si="82"/>
        <v>149000000</v>
      </c>
      <c r="AN340" s="20"/>
    </row>
    <row r="341" spans="17:46">
      <c r="Q341" s="99" t="s">
        <v>5062</v>
      </c>
      <c r="R341" s="95">
        <v>744000</v>
      </c>
      <c r="S341" s="114"/>
      <c r="T341" s="189" t="s">
        <v>5469</v>
      </c>
      <c r="U341" s="189">
        <v>2316</v>
      </c>
      <c r="V341" s="188">
        <v>818.697</v>
      </c>
      <c r="W341" s="188">
        <f t="shared" si="71"/>
        <v>1896102.2520000001</v>
      </c>
      <c r="X341" s="279" t="s">
        <v>5472</v>
      </c>
      <c r="AH341" s="20">
        <v>88</v>
      </c>
      <c r="AI341" s="20" t="s">
        <v>5062</v>
      </c>
      <c r="AJ341" s="117">
        <v>250000</v>
      </c>
      <c r="AK341" s="20">
        <v>0</v>
      </c>
      <c r="AL341" s="20">
        <f t="shared" si="81"/>
        <v>295</v>
      </c>
      <c r="AM341" s="20">
        <f t="shared" si="82"/>
        <v>73750000</v>
      </c>
      <c r="AN341" s="20"/>
    </row>
    <row r="342" spans="17:46">
      <c r="Q342" s="99" t="s">
        <v>5090</v>
      </c>
      <c r="R342" s="95">
        <v>65000</v>
      </c>
      <c r="T342" s="19" t="s">
        <v>5478</v>
      </c>
      <c r="U342" s="19">
        <v>315</v>
      </c>
      <c r="V342" s="117">
        <v>680</v>
      </c>
      <c r="W342" s="117">
        <f t="shared" si="71"/>
        <v>214200</v>
      </c>
      <c r="X342" s="280" t="s">
        <v>5188</v>
      </c>
      <c r="Y342" t="s">
        <v>25</v>
      </c>
      <c r="AA342" t="s">
        <v>25</v>
      </c>
      <c r="AH342" s="256">
        <v>89</v>
      </c>
      <c r="AI342" s="256" t="s">
        <v>5062</v>
      </c>
      <c r="AJ342" s="247">
        <v>245000</v>
      </c>
      <c r="AK342" s="256">
        <v>16</v>
      </c>
      <c r="AL342" s="256">
        <f t="shared" si="81"/>
        <v>295</v>
      </c>
      <c r="AM342" s="256">
        <f t="shared" si="82"/>
        <v>72275000</v>
      </c>
      <c r="AN342" s="256"/>
    </row>
    <row r="343" spans="17:46">
      <c r="Q343" s="99" t="s">
        <v>5096</v>
      </c>
      <c r="R343" s="95">
        <v>-14053702</v>
      </c>
      <c r="T343" s="19" t="s">
        <v>5505</v>
      </c>
      <c r="U343" s="19">
        <v>832</v>
      </c>
      <c r="V343" s="117">
        <v>784.36500000000001</v>
      </c>
      <c r="W343" s="117">
        <f t="shared" si="71"/>
        <v>652591.68000000005</v>
      </c>
      <c r="X343" s="280" t="s">
        <v>5188</v>
      </c>
      <c r="AH343" s="20">
        <v>90</v>
      </c>
      <c r="AI343" s="20" t="s">
        <v>5100</v>
      </c>
      <c r="AJ343" s="117">
        <v>312598</v>
      </c>
      <c r="AK343" s="20">
        <v>0</v>
      </c>
      <c r="AL343" s="20">
        <f t="shared" si="81"/>
        <v>279</v>
      </c>
      <c r="AM343" s="20">
        <f t="shared" si="82"/>
        <v>87214842</v>
      </c>
      <c r="AN343" s="20"/>
    </row>
    <row r="344" spans="17:46">
      <c r="Q344" s="99" t="s">
        <v>5063</v>
      </c>
      <c r="R344" s="95">
        <v>3555678</v>
      </c>
      <c r="T344" s="19" t="s">
        <v>5579</v>
      </c>
      <c r="U344" s="19">
        <v>382</v>
      </c>
      <c r="V344" s="117">
        <v>1450.6065000000001</v>
      </c>
      <c r="W344" s="117">
        <f t="shared" si="71"/>
        <v>554131.68300000008</v>
      </c>
      <c r="X344" s="280" t="s">
        <v>5188</v>
      </c>
      <c r="AH344" s="20">
        <v>91</v>
      </c>
      <c r="AI344" s="20" t="s">
        <v>5100</v>
      </c>
      <c r="AJ344" s="117">
        <v>780000</v>
      </c>
      <c r="AK344" s="20">
        <v>0</v>
      </c>
      <c r="AL344" s="20">
        <f t="shared" si="81"/>
        <v>279</v>
      </c>
      <c r="AM344" s="20">
        <f t="shared" si="82"/>
        <v>217620000</v>
      </c>
      <c r="AN344" s="20"/>
    </row>
    <row r="345" spans="17:46">
      <c r="Q345" s="99" t="s">
        <v>5132</v>
      </c>
      <c r="R345" s="95">
        <v>3495</v>
      </c>
      <c r="T345" s="19" t="s">
        <v>5580</v>
      </c>
      <c r="U345" s="19">
        <v>50047</v>
      </c>
      <c r="V345" s="117">
        <v>1406.14</v>
      </c>
      <c r="W345" s="117">
        <f t="shared" si="71"/>
        <v>70373088.579999998</v>
      </c>
      <c r="X345" s="280" t="s">
        <v>5188</v>
      </c>
      <c r="AH345" s="195">
        <v>92</v>
      </c>
      <c r="AI345" s="195" t="s">
        <v>5100</v>
      </c>
      <c r="AJ345" s="196">
        <v>-300000</v>
      </c>
      <c r="AK345" s="195">
        <v>1</v>
      </c>
      <c r="AL345" s="195">
        <f t="shared" si="81"/>
        <v>279</v>
      </c>
      <c r="AM345" s="195">
        <f t="shared" si="82"/>
        <v>-83700000</v>
      </c>
      <c r="AN345" s="195"/>
    </row>
    <row r="346" spans="17:46">
      <c r="Q346" s="99" t="s">
        <v>5138</v>
      </c>
      <c r="R346" s="95">
        <v>6000000</v>
      </c>
      <c r="T346" s="19" t="s">
        <v>5584</v>
      </c>
      <c r="U346" s="19">
        <v>846</v>
      </c>
      <c r="V346" s="117">
        <v>1441.6724569999999</v>
      </c>
      <c r="W346" s="117">
        <f t="shared" si="71"/>
        <v>1219654.8986219999</v>
      </c>
      <c r="X346" s="280" t="s">
        <v>5188</v>
      </c>
      <c r="AA346" t="s">
        <v>25</v>
      </c>
      <c r="AH346" s="20">
        <v>93</v>
      </c>
      <c r="AI346" s="20" t="s">
        <v>5063</v>
      </c>
      <c r="AJ346" s="117">
        <v>300000</v>
      </c>
      <c r="AK346" s="20">
        <v>0</v>
      </c>
      <c r="AL346" s="20">
        <f t="shared" si="81"/>
        <v>278</v>
      </c>
      <c r="AM346" s="20">
        <f t="shared" si="82"/>
        <v>83400000</v>
      </c>
      <c r="AN346" s="20"/>
    </row>
    <row r="347" spans="17:46">
      <c r="Q347" s="99" t="s">
        <v>5141</v>
      </c>
      <c r="R347" s="95">
        <v>17220</v>
      </c>
      <c r="T347" s="19" t="s">
        <v>5585</v>
      </c>
      <c r="U347" s="19">
        <v>10573</v>
      </c>
      <c r="V347" s="117">
        <v>1451.825</v>
      </c>
      <c r="W347" s="117">
        <f t="shared" si="71"/>
        <v>15350145.725</v>
      </c>
      <c r="X347" s="280" t="s">
        <v>5188</v>
      </c>
      <c r="Y347" t="s">
        <v>25</v>
      </c>
      <c r="AH347" s="20">
        <v>94</v>
      </c>
      <c r="AI347" s="20" t="s">
        <v>5063</v>
      </c>
      <c r="AJ347" s="117">
        <v>8660000</v>
      </c>
      <c r="AK347" s="20">
        <v>8</v>
      </c>
      <c r="AL347" s="20">
        <f t="shared" si="81"/>
        <v>278</v>
      </c>
      <c r="AM347" s="20">
        <f t="shared" si="82"/>
        <v>2407480000</v>
      </c>
      <c r="AN347" s="20"/>
    </row>
    <row r="348" spans="17:46" ht="30">
      <c r="Q348" s="99" t="s">
        <v>5142</v>
      </c>
      <c r="R348" s="95">
        <v>8249</v>
      </c>
      <c r="T348" s="19" t="s">
        <v>5587</v>
      </c>
      <c r="U348" s="19">
        <v>85</v>
      </c>
      <c r="V348" s="117">
        <v>1423.74</v>
      </c>
      <c r="W348" s="117">
        <f t="shared" si="71"/>
        <v>121017.9</v>
      </c>
      <c r="X348" s="280" t="s">
        <v>5589</v>
      </c>
      <c r="Y348" t="s">
        <v>25</v>
      </c>
      <c r="Z348" t="s">
        <v>25</v>
      </c>
      <c r="AH348" s="149">
        <v>95</v>
      </c>
      <c r="AI348" s="149" t="s">
        <v>5117</v>
      </c>
      <c r="AJ348" s="188">
        <v>200000</v>
      </c>
      <c r="AK348" s="149">
        <v>3</v>
      </c>
      <c r="AL348" s="149">
        <f t="shared" si="81"/>
        <v>270</v>
      </c>
      <c r="AM348" s="149">
        <f t="shared" si="82"/>
        <v>54000000</v>
      </c>
      <c r="AN348" s="149"/>
    </row>
    <row r="349" spans="17:46" ht="30">
      <c r="Q349" s="99" t="s">
        <v>5144</v>
      </c>
      <c r="R349" s="95">
        <v>6937</v>
      </c>
      <c r="T349" s="19" t="s">
        <v>5593</v>
      </c>
      <c r="U349" s="19">
        <v>738</v>
      </c>
      <c r="V349" s="117">
        <v>1388.87895</v>
      </c>
      <c r="W349" s="117">
        <f t="shared" si="71"/>
        <v>1024992.6651</v>
      </c>
      <c r="X349" s="280" t="s">
        <v>5610</v>
      </c>
      <c r="AH349" s="149">
        <v>96</v>
      </c>
      <c r="AI349" s="149" t="s">
        <v>5120</v>
      </c>
      <c r="AJ349" s="188">
        <v>20000</v>
      </c>
      <c r="AK349" s="149">
        <v>1</v>
      </c>
      <c r="AL349" s="149">
        <f t="shared" si="81"/>
        <v>267</v>
      </c>
      <c r="AM349" s="149">
        <f t="shared" si="82"/>
        <v>5340000</v>
      </c>
      <c r="AN349" s="149"/>
    </row>
    <row r="350" spans="17:46">
      <c r="Q350" s="99" t="s">
        <v>5144</v>
      </c>
      <c r="R350" s="95">
        <v>4046552</v>
      </c>
      <c r="S350" t="s">
        <v>25</v>
      </c>
      <c r="T350" s="19" t="s">
        <v>5618</v>
      </c>
      <c r="U350" s="19">
        <v>1442</v>
      </c>
      <c r="V350" s="117">
        <v>1350.9547279999999</v>
      </c>
      <c r="W350" s="117">
        <f t="shared" si="71"/>
        <v>1948076.7177759998</v>
      </c>
      <c r="X350" s="280" t="s">
        <v>5188</v>
      </c>
      <c r="AH350" s="20">
        <v>97</v>
      </c>
      <c r="AI350" s="20" t="s">
        <v>5130</v>
      </c>
      <c r="AJ350" s="117">
        <v>14340000</v>
      </c>
      <c r="AK350" s="20">
        <v>7</v>
      </c>
      <c r="AL350" s="20">
        <f t="shared" si="81"/>
        <v>266</v>
      </c>
      <c r="AM350" s="20">
        <f t="shared" si="82"/>
        <v>3814440000</v>
      </c>
      <c r="AN350" s="20"/>
    </row>
    <row r="351" spans="17:46">
      <c r="Q351" s="99" t="s">
        <v>5147</v>
      </c>
      <c r="R351" s="95">
        <v>-3884943</v>
      </c>
      <c r="T351" s="19" t="s">
        <v>5619</v>
      </c>
      <c r="U351" s="19">
        <v>36847</v>
      </c>
      <c r="V351" s="117">
        <v>1356.9658300000001</v>
      </c>
      <c r="W351" s="117">
        <f t="shared" si="71"/>
        <v>50000119.938010007</v>
      </c>
      <c r="X351" s="280" t="s">
        <v>5193</v>
      </c>
      <c r="AH351" s="20">
        <v>98</v>
      </c>
      <c r="AI351" s="20" t="s">
        <v>5138</v>
      </c>
      <c r="AJ351" s="117">
        <v>10000000</v>
      </c>
      <c r="AK351" s="20">
        <v>6</v>
      </c>
      <c r="AL351" s="20">
        <f t="shared" si="81"/>
        <v>259</v>
      </c>
      <c r="AM351" s="20">
        <f t="shared" si="82"/>
        <v>2590000000</v>
      </c>
      <c r="AN351" s="20" t="s">
        <v>4723</v>
      </c>
    </row>
    <row r="352" spans="17:46" ht="30">
      <c r="Q352" s="99" t="s">
        <v>5156</v>
      </c>
      <c r="R352" s="95">
        <v>6022</v>
      </c>
      <c r="T352" s="19" t="s">
        <v>5620</v>
      </c>
      <c r="U352" s="19">
        <v>13738</v>
      </c>
      <c r="V352" s="117">
        <v>1455.82</v>
      </c>
      <c r="W352" s="117">
        <f t="shared" si="71"/>
        <v>20000055.16</v>
      </c>
      <c r="X352" s="280" t="s">
        <v>5650</v>
      </c>
      <c r="AH352" s="20">
        <v>99</v>
      </c>
      <c r="AI352" s="20" t="s">
        <v>5144</v>
      </c>
      <c r="AJ352" s="117">
        <v>4033949</v>
      </c>
      <c r="AK352" s="20">
        <v>2</v>
      </c>
      <c r="AL352" s="20">
        <f t="shared" si="81"/>
        <v>253</v>
      </c>
      <c r="AM352" s="20">
        <f t="shared" si="82"/>
        <v>1020589097</v>
      </c>
      <c r="AN352" s="20" t="s">
        <v>5146</v>
      </c>
    </row>
    <row r="353" spans="17:45">
      <c r="Q353" s="99" t="s">
        <v>5183</v>
      </c>
      <c r="R353" s="95">
        <v>400000</v>
      </c>
      <c r="T353" s="19" t="s">
        <v>5668</v>
      </c>
      <c r="U353" s="19">
        <v>3100</v>
      </c>
      <c r="V353" s="117">
        <v>1853.4507470000001</v>
      </c>
      <c r="W353" s="117">
        <f t="shared" si="71"/>
        <v>5745697.3157000002</v>
      </c>
      <c r="X353" s="280" t="s">
        <v>5188</v>
      </c>
      <c r="AH353" s="149">
        <v>100</v>
      </c>
      <c r="AI353" s="149" t="s">
        <v>5150</v>
      </c>
      <c r="AJ353" s="188">
        <v>11500000</v>
      </c>
      <c r="AK353" s="149">
        <v>2</v>
      </c>
      <c r="AL353" s="149">
        <f t="shared" si="81"/>
        <v>251</v>
      </c>
      <c r="AM353" s="149">
        <f t="shared" si="82"/>
        <v>2886500000</v>
      </c>
      <c r="AN353" s="149" t="s">
        <v>5152</v>
      </c>
    </row>
    <row r="354" spans="17:45">
      <c r="Q354" s="99" t="s">
        <v>5187</v>
      </c>
      <c r="R354" s="95">
        <v>92847</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5187</v>
      </c>
      <c r="R355" s="95">
        <v>-100000</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5191</v>
      </c>
      <c r="R356" s="95">
        <v>10000000</v>
      </c>
      <c r="T356" s="99"/>
      <c r="U356" s="168"/>
      <c r="V356" s="113"/>
      <c r="W356" s="113"/>
      <c r="X356" s="99"/>
      <c r="Y356" t="s">
        <v>25</v>
      </c>
      <c r="AH356" s="149">
        <v>103</v>
      </c>
      <c r="AI356" s="149" t="s">
        <v>5183</v>
      </c>
      <c r="AJ356" s="188">
        <v>1500000</v>
      </c>
      <c r="AK356" s="149">
        <v>6</v>
      </c>
      <c r="AL356" s="149">
        <f t="shared" si="81"/>
        <v>245</v>
      </c>
      <c r="AM356" s="149">
        <f t="shared" si="82"/>
        <v>367500000</v>
      </c>
      <c r="AN356" s="149" t="s">
        <v>5152</v>
      </c>
    </row>
    <row r="357" spans="17:45">
      <c r="Q357" s="99" t="s">
        <v>5196</v>
      </c>
      <c r="R357" s="95">
        <v>-400000</v>
      </c>
      <c r="T357" s="168"/>
      <c r="U357" s="168">
        <f>SUM(U175:U356)</f>
        <v>3649317</v>
      </c>
      <c r="V357" s="99"/>
      <c r="W357" s="99"/>
      <c r="X357" s="99"/>
      <c r="Y357" t="s">
        <v>25</v>
      </c>
      <c r="AH357" s="20">
        <v>104</v>
      </c>
      <c r="AI357" s="20" t="s">
        <v>972</v>
      </c>
      <c r="AJ357" s="117">
        <v>-3960043</v>
      </c>
      <c r="AK357" s="20">
        <v>2</v>
      </c>
      <c r="AL357" s="20">
        <f t="shared" si="81"/>
        <v>239</v>
      </c>
      <c r="AM357" s="20">
        <f t="shared" si="82"/>
        <v>-946450277</v>
      </c>
      <c r="AN357" s="20"/>
    </row>
    <row r="358" spans="17:45">
      <c r="Q358" s="99" t="s">
        <v>5200</v>
      </c>
      <c r="R358" s="95">
        <v>5649</v>
      </c>
      <c r="T358" s="99"/>
      <c r="U358" s="99" t="s">
        <v>6</v>
      </c>
      <c r="V358" s="99"/>
      <c r="W358" s="99"/>
      <c r="X358" s="99"/>
      <c r="AH358" s="20">
        <v>105</v>
      </c>
      <c r="AI358" s="20" t="s">
        <v>5202</v>
      </c>
      <c r="AJ358" s="117">
        <v>230000</v>
      </c>
      <c r="AK358" s="20">
        <v>0</v>
      </c>
      <c r="AL358" s="20">
        <f t="shared" si="81"/>
        <v>237</v>
      </c>
      <c r="AM358" s="20">
        <f t="shared" si="82"/>
        <v>54510000</v>
      </c>
      <c r="AN358" s="20"/>
      <c r="AS358" t="s">
        <v>25</v>
      </c>
    </row>
    <row r="359" spans="17:45">
      <c r="Q359" s="99" t="s">
        <v>5202</v>
      </c>
      <c r="R359" s="95">
        <v>460000</v>
      </c>
      <c r="T359" s="200" t="s">
        <v>4465</v>
      </c>
      <c r="Y359" t="s">
        <v>25</v>
      </c>
      <c r="AH359" s="149">
        <v>106</v>
      </c>
      <c r="AI359" s="149" t="s">
        <v>5202</v>
      </c>
      <c r="AJ359" s="188">
        <v>230000</v>
      </c>
      <c r="AK359" s="149">
        <v>1</v>
      </c>
      <c r="AL359" s="149">
        <f t="shared" si="81"/>
        <v>237</v>
      </c>
      <c r="AM359" s="149">
        <f t="shared" si="82"/>
        <v>54510000</v>
      </c>
      <c r="AN359" s="149"/>
    </row>
    <row r="360" spans="17:45">
      <c r="Q360" s="99" t="s">
        <v>5203</v>
      </c>
      <c r="R360" s="95">
        <v>1300000</v>
      </c>
      <c r="T360" s="199">
        <f>R191/U357</f>
        <v>1851.4371266184878</v>
      </c>
      <c r="Y360" t="s">
        <v>25</v>
      </c>
      <c r="AH360" s="149">
        <v>107</v>
      </c>
      <c r="AI360" s="149" t="s">
        <v>5203</v>
      </c>
      <c r="AJ360" s="188">
        <v>500000</v>
      </c>
      <c r="AK360" s="149">
        <v>1</v>
      </c>
      <c r="AL360" s="149">
        <f t="shared" si="81"/>
        <v>236</v>
      </c>
      <c r="AM360" s="149">
        <f t="shared" si="82"/>
        <v>118000000</v>
      </c>
      <c r="AN360" s="149"/>
    </row>
    <row r="361" spans="17:45">
      <c r="Q361" s="99" t="s">
        <v>5203</v>
      </c>
      <c r="R361" s="95">
        <v>7300000</v>
      </c>
      <c r="W361" s="114"/>
      <c r="Y361" t="s">
        <v>25</v>
      </c>
      <c r="AH361" s="20">
        <v>108</v>
      </c>
      <c r="AI361" s="20" t="s">
        <v>5206</v>
      </c>
      <c r="AJ361" s="117">
        <v>-880000</v>
      </c>
      <c r="AK361" s="20">
        <v>4</v>
      </c>
      <c r="AL361" s="20">
        <f t="shared" si="81"/>
        <v>235</v>
      </c>
      <c r="AM361" s="20">
        <f t="shared" si="82"/>
        <v>-206800000</v>
      </c>
      <c r="AN361" s="20"/>
    </row>
    <row r="362" spans="17:45">
      <c r="Q362" s="99" t="s">
        <v>989</v>
      </c>
      <c r="R362" s="95">
        <v>21203</v>
      </c>
      <c r="U362" s="96" t="s">
        <v>267</v>
      </c>
      <c r="V362" t="s">
        <v>4466</v>
      </c>
      <c r="X362">
        <v>137360</v>
      </c>
      <c r="Y362" t="s">
        <v>25</v>
      </c>
      <c r="AH362" s="195">
        <v>109</v>
      </c>
      <c r="AI362" s="195" t="s">
        <v>5211</v>
      </c>
      <c r="AJ362" s="196">
        <v>873000</v>
      </c>
      <c r="AK362" s="195">
        <v>0</v>
      </c>
      <c r="AL362" s="195">
        <f t="shared" si="81"/>
        <v>231</v>
      </c>
      <c r="AM362" s="195">
        <f t="shared" si="82"/>
        <v>201663000</v>
      </c>
      <c r="AN362" s="195" t="s">
        <v>5152</v>
      </c>
    </row>
    <row r="363" spans="17:45">
      <c r="Q363" s="99" t="s">
        <v>4270</v>
      </c>
      <c r="R363" s="95">
        <v>34550</v>
      </c>
      <c r="T363" s="114"/>
      <c r="U363" s="95">
        <v>-5744703</v>
      </c>
      <c r="V363">
        <f>U363/T360</f>
        <v>-3102.8345048326178</v>
      </c>
      <c r="X363">
        <v>102146</v>
      </c>
      <c r="AH363" s="20">
        <v>110</v>
      </c>
      <c r="AI363" s="20" t="s">
        <v>5211</v>
      </c>
      <c r="AJ363" s="117">
        <v>127000</v>
      </c>
      <c r="AK363" s="20">
        <v>0</v>
      </c>
      <c r="AL363" s="20">
        <f t="shared" si="81"/>
        <v>231</v>
      </c>
      <c r="AM363" s="20">
        <f t="shared" si="82"/>
        <v>29337000</v>
      </c>
      <c r="AN363" s="20" t="s">
        <v>5152</v>
      </c>
    </row>
    <row r="364" spans="17:45">
      <c r="Q364" s="99" t="s">
        <v>5201</v>
      </c>
      <c r="R364" s="95">
        <v>-2134406</v>
      </c>
      <c r="X364">
        <f>X362+X363</f>
        <v>239506</v>
      </c>
      <c r="AH364" s="20">
        <v>111</v>
      </c>
      <c r="AI364" s="20" t="s">
        <v>5211</v>
      </c>
      <c r="AJ364" s="117">
        <v>73000</v>
      </c>
      <c r="AK364" s="20">
        <v>1</v>
      </c>
      <c r="AL364" s="20">
        <f t="shared" si="81"/>
        <v>231</v>
      </c>
      <c r="AM364" s="20">
        <f t="shared" si="82"/>
        <v>16863000</v>
      </c>
      <c r="AN364" s="20"/>
    </row>
    <row r="365" spans="17:45" ht="30">
      <c r="Q365" s="99" t="s">
        <v>5242</v>
      </c>
      <c r="R365" s="95">
        <v>-618906</v>
      </c>
      <c r="V365" s="22" t="s">
        <v>5210</v>
      </c>
      <c r="W365" s="223"/>
      <c r="X365" s="96">
        <f>X364/2</f>
        <v>119753</v>
      </c>
      <c r="Y365" t="s">
        <v>25</v>
      </c>
      <c r="AH365" s="20">
        <v>112</v>
      </c>
      <c r="AI365" s="20" t="s">
        <v>989</v>
      </c>
      <c r="AJ365" s="117">
        <v>4300000</v>
      </c>
      <c r="AK365" s="20">
        <v>1</v>
      </c>
      <c r="AL365" s="20">
        <f t="shared" si="81"/>
        <v>230</v>
      </c>
      <c r="AM365" s="20">
        <f t="shared" si="82"/>
        <v>989000000</v>
      </c>
      <c r="AN365" s="20"/>
    </row>
    <row r="366" spans="17:45">
      <c r="Q366" s="99" t="s">
        <v>5245</v>
      </c>
      <c r="R366" s="95">
        <v>-54615</v>
      </c>
      <c r="S366" t="s">
        <v>25</v>
      </c>
      <c r="W366" s="96" t="s">
        <v>25</v>
      </c>
      <c r="X366">
        <f>X362-X365</f>
        <v>17607</v>
      </c>
      <c r="AH366" s="20">
        <v>113</v>
      </c>
      <c r="AI366" s="20" t="s">
        <v>5078</v>
      </c>
      <c r="AJ366" s="117">
        <v>1600000</v>
      </c>
      <c r="AK366" s="20">
        <v>0</v>
      </c>
      <c r="AL366" s="20">
        <f t="shared" si="81"/>
        <v>229</v>
      </c>
      <c r="AM366" s="20">
        <f t="shared" si="82"/>
        <v>366400000</v>
      </c>
      <c r="AN366" s="20"/>
    </row>
    <row r="367" spans="17:45">
      <c r="Q367" s="99" t="s">
        <v>5290</v>
      </c>
      <c r="R367" s="95">
        <v>18000000</v>
      </c>
      <c r="X367">
        <f>X363-X365</f>
        <v>-17607</v>
      </c>
      <c r="AH367" s="20">
        <v>114</v>
      </c>
      <c r="AI367" s="20" t="s">
        <v>4270</v>
      </c>
      <c r="AJ367" s="117">
        <v>-10000000</v>
      </c>
      <c r="AK367" s="20">
        <v>1</v>
      </c>
      <c r="AL367" s="20">
        <f t="shared" si="81"/>
        <v>229</v>
      </c>
      <c r="AM367" s="20">
        <f t="shared" si="82"/>
        <v>-2290000000</v>
      </c>
      <c r="AN367" s="20" t="s">
        <v>5218</v>
      </c>
    </row>
    <row r="368" spans="17:45" ht="60">
      <c r="Q368" s="99" t="s">
        <v>5343</v>
      </c>
      <c r="R368" s="95">
        <v>20000000</v>
      </c>
      <c r="T368" s="22" t="s">
        <v>4449</v>
      </c>
      <c r="V368" s="223" t="s">
        <v>25</v>
      </c>
      <c r="X368">
        <f>110+81.8</f>
        <v>191.8</v>
      </c>
      <c r="AH368" s="20">
        <v>115</v>
      </c>
      <c r="AI368" s="20" t="s">
        <v>5217</v>
      </c>
      <c r="AJ368" s="117">
        <v>571000</v>
      </c>
      <c r="AK368" s="20">
        <v>4</v>
      </c>
      <c r="AL368" s="20">
        <f t="shared" si="81"/>
        <v>228</v>
      </c>
      <c r="AM368" s="20">
        <f t="shared" si="82"/>
        <v>130188000</v>
      </c>
      <c r="AN368" s="20"/>
    </row>
    <row r="369" spans="17:45" ht="45">
      <c r="Q369" s="99" t="s">
        <v>5353</v>
      </c>
      <c r="R369" s="95">
        <v>27694196</v>
      </c>
      <c r="T369" s="22" t="s">
        <v>4450</v>
      </c>
      <c r="X369">
        <f>X368/2</f>
        <v>95.9</v>
      </c>
      <c r="AH369" s="20">
        <v>116</v>
      </c>
      <c r="AI369" s="20" t="s">
        <v>5219</v>
      </c>
      <c r="AJ369" s="117">
        <v>200000</v>
      </c>
      <c r="AK369" s="20">
        <v>3</v>
      </c>
      <c r="AL369" s="20">
        <f t="shared" ref="AL369:AL380" si="83">AK369+AL370</f>
        <v>224</v>
      </c>
      <c r="AM369" s="20">
        <f t="shared" ref="AM369:AM380" si="84">AJ369*AL369</f>
        <v>44800000</v>
      </c>
      <c r="AN369" s="20"/>
    </row>
    <row r="370" spans="17:45">
      <c r="Q370" s="99" t="s">
        <v>5432</v>
      </c>
      <c r="R370" s="95">
        <v>7211722</v>
      </c>
      <c r="AH370" s="149">
        <v>117</v>
      </c>
      <c r="AI370" s="149" t="s">
        <v>5226</v>
      </c>
      <c r="AJ370" s="188">
        <v>50000</v>
      </c>
      <c r="AK370" s="149">
        <v>7</v>
      </c>
      <c r="AL370" s="149">
        <f t="shared" si="83"/>
        <v>221</v>
      </c>
      <c r="AM370" s="149">
        <f t="shared" si="84"/>
        <v>11050000</v>
      </c>
      <c r="AN370" s="149"/>
    </row>
    <row r="371" spans="17:45">
      <c r="Q371" s="99" t="s">
        <v>5433</v>
      </c>
      <c r="R371" s="95">
        <v>8481864</v>
      </c>
      <c r="AH371" s="20">
        <v>118</v>
      </c>
      <c r="AI371" s="20" t="s">
        <v>5234</v>
      </c>
      <c r="AJ371" s="117">
        <v>-500000</v>
      </c>
      <c r="AK371" s="20">
        <v>12</v>
      </c>
      <c r="AL371" s="20">
        <f t="shared" si="83"/>
        <v>214</v>
      </c>
      <c r="AM371" s="20">
        <f t="shared" si="84"/>
        <v>-107000000</v>
      </c>
      <c r="AN371" s="20"/>
    </row>
    <row r="372" spans="17:45">
      <c r="Q372" s="99" t="s">
        <v>5441</v>
      </c>
      <c r="R372" s="95">
        <v>1558697</v>
      </c>
      <c r="T372" s="99" t="s">
        <v>4467</v>
      </c>
      <c r="U372" s="99" t="s">
        <v>4444</v>
      </c>
      <c r="V372" s="99" t="s">
        <v>950</v>
      </c>
      <c r="W372" s="74"/>
      <c r="AH372" s="149">
        <v>119</v>
      </c>
      <c r="AI372" s="149" t="s">
        <v>988</v>
      </c>
      <c r="AJ372" s="188">
        <v>-50000</v>
      </c>
      <c r="AK372" s="149">
        <v>0</v>
      </c>
      <c r="AL372" s="149">
        <f t="shared" si="83"/>
        <v>202</v>
      </c>
      <c r="AM372" s="149">
        <f t="shared" si="84"/>
        <v>-10100000</v>
      </c>
      <c r="AN372" s="149"/>
      <c r="AR372" t="s">
        <v>25</v>
      </c>
    </row>
    <row r="373" spans="17:45">
      <c r="Q373" s="99" t="s">
        <v>5446</v>
      </c>
      <c r="R373" s="95">
        <v>9042009</v>
      </c>
      <c r="T373" s="95">
        <f>S232+R285+R391</f>
        <v>966217806</v>
      </c>
      <c r="U373" s="95">
        <f>R191</f>
        <v>6756480980.6000004</v>
      </c>
      <c r="V373" s="95">
        <f>U373-T373</f>
        <v>5790263174.6000004</v>
      </c>
      <c r="AH373" s="20">
        <v>120</v>
      </c>
      <c r="AI373" s="20" t="s">
        <v>988</v>
      </c>
      <c r="AJ373" s="117">
        <v>-50000</v>
      </c>
      <c r="AK373" s="20">
        <v>28</v>
      </c>
      <c r="AL373" s="20">
        <f t="shared" si="83"/>
        <v>202</v>
      </c>
      <c r="AM373" s="20">
        <f t="shared" si="84"/>
        <v>-10100000</v>
      </c>
      <c r="AN373" s="20"/>
    </row>
    <row r="374" spans="17:45">
      <c r="Q374" s="99" t="s">
        <v>5447</v>
      </c>
      <c r="R374" s="95">
        <v>94969</v>
      </c>
      <c r="AH374" s="20">
        <v>121</v>
      </c>
      <c r="AI374" s="20" t="s">
        <v>5279</v>
      </c>
      <c r="AJ374" s="117">
        <v>-3020625</v>
      </c>
      <c r="AK374" s="20">
        <v>18</v>
      </c>
      <c r="AL374" s="20">
        <f t="shared" si="83"/>
        <v>174</v>
      </c>
      <c r="AM374" s="20">
        <f t="shared" si="84"/>
        <v>-525588750</v>
      </c>
      <c r="AN374" s="20"/>
      <c r="AS374" t="s">
        <v>25</v>
      </c>
    </row>
    <row r="375" spans="17:45">
      <c r="Q375" s="99" t="s">
        <v>5453</v>
      </c>
      <c r="R375" s="95">
        <v>40000000</v>
      </c>
      <c r="AH375" s="20">
        <v>122</v>
      </c>
      <c r="AI375" s="20" t="s">
        <v>5290</v>
      </c>
      <c r="AJ375" s="117">
        <v>18000000</v>
      </c>
      <c r="AK375" s="20">
        <v>19</v>
      </c>
      <c r="AL375" s="20">
        <f t="shared" si="83"/>
        <v>156</v>
      </c>
      <c r="AM375" s="20">
        <f t="shared" si="84"/>
        <v>2808000000</v>
      </c>
      <c r="AN375" s="20"/>
    </row>
    <row r="376" spans="17:45">
      <c r="Q376" s="99" t="s">
        <v>5453</v>
      </c>
      <c r="R376" s="95">
        <v>2806274</v>
      </c>
      <c r="T376" s="117"/>
      <c r="V376" s="114">
        <f>(444000000+2500000)*2/3</f>
        <v>297666666.66666669</v>
      </c>
      <c r="AH376" s="20">
        <v>123</v>
      </c>
      <c r="AI376" s="20" t="s">
        <v>5319</v>
      </c>
      <c r="AJ376" s="117">
        <v>2000000</v>
      </c>
      <c r="AK376" s="20">
        <v>6</v>
      </c>
      <c r="AL376" s="20">
        <f t="shared" si="83"/>
        <v>137</v>
      </c>
      <c r="AM376" s="20">
        <f t="shared" si="84"/>
        <v>274000000</v>
      </c>
      <c r="AN376" s="20"/>
    </row>
    <row r="377" spans="17:45">
      <c r="Q377" s="99" t="s">
        <v>5454</v>
      </c>
      <c r="R377" s="95">
        <v>1331702</v>
      </c>
      <c r="Y377" t="s">
        <v>25</v>
      </c>
      <c r="AH377" s="149">
        <v>124</v>
      </c>
      <c r="AI377" s="149" t="s">
        <v>5332</v>
      </c>
      <c r="AJ377" s="188">
        <v>40000000</v>
      </c>
      <c r="AK377" s="149">
        <v>6</v>
      </c>
      <c r="AL377" s="149">
        <f t="shared" si="83"/>
        <v>131</v>
      </c>
      <c r="AM377" s="149">
        <f t="shared" si="84"/>
        <v>5240000000</v>
      </c>
      <c r="AN377" s="149"/>
      <c r="AR377" t="s">
        <v>25</v>
      </c>
    </row>
    <row r="378" spans="17:45">
      <c r="Q378" s="99" t="s">
        <v>5463</v>
      </c>
      <c r="R378" s="95">
        <v>851238</v>
      </c>
      <c r="T378" s="114">
        <f>W327+W328+W330+W331+W333+W334</f>
        <v>-301699041.74755996</v>
      </c>
      <c r="AH378" s="20">
        <v>125</v>
      </c>
      <c r="AI378" s="20" t="s">
        <v>5343</v>
      </c>
      <c r="AJ378" s="117">
        <v>200000</v>
      </c>
      <c r="AK378" s="20">
        <v>0</v>
      </c>
      <c r="AL378" s="20">
        <f t="shared" si="83"/>
        <v>125</v>
      </c>
      <c r="AM378" s="20">
        <f t="shared" si="84"/>
        <v>25000000</v>
      </c>
      <c r="AN378" s="20"/>
    </row>
    <row r="379" spans="17:45">
      <c r="Q379" s="99" t="s">
        <v>5505</v>
      </c>
      <c r="R379" s="95">
        <v>652592</v>
      </c>
      <c r="T379" t="s">
        <v>25</v>
      </c>
      <c r="AH379" s="149">
        <v>126</v>
      </c>
      <c r="AI379" s="149" t="s">
        <v>5343</v>
      </c>
      <c r="AJ379" s="188">
        <v>200000</v>
      </c>
      <c r="AK379" s="149">
        <v>1</v>
      </c>
      <c r="AL379" s="149">
        <f t="shared" si="83"/>
        <v>125</v>
      </c>
      <c r="AM379" s="149">
        <f t="shared" si="84"/>
        <v>25000000</v>
      </c>
      <c r="AN379" s="149"/>
    </row>
    <row r="380" spans="17:45">
      <c r="Q380" s="99" t="s">
        <v>5579</v>
      </c>
      <c r="R380" s="95">
        <v>554139</v>
      </c>
      <c r="T380" s="114">
        <f>V376+T378</f>
        <v>-4032375.0808932781</v>
      </c>
      <c r="AH380" s="20">
        <v>127</v>
      </c>
      <c r="AI380" s="20" t="s">
        <v>5347</v>
      </c>
      <c r="AJ380" s="117">
        <v>50000</v>
      </c>
      <c r="AK380" s="20">
        <v>4</v>
      </c>
      <c r="AL380" s="20">
        <f t="shared" si="83"/>
        <v>124</v>
      </c>
      <c r="AM380" s="20">
        <f t="shared" si="84"/>
        <v>6200000</v>
      </c>
      <c r="AN380" s="20"/>
    </row>
    <row r="381" spans="17:45">
      <c r="Q381" s="99" t="s">
        <v>5580</v>
      </c>
      <c r="R381" s="95">
        <v>70373089</v>
      </c>
      <c r="T381" t="s">
        <v>25</v>
      </c>
      <c r="AH381" s="20">
        <v>128</v>
      </c>
      <c r="AI381" s="20" t="s">
        <v>5350</v>
      </c>
      <c r="AJ381" s="117">
        <v>100000</v>
      </c>
      <c r="AK381" s="20">
        <v>9</v>
      </c>
      <c r="AL381" s="20">
        <f t="shared" ref="AL381:AL391" si="85">AK381+AL382</f>
        <v>120</v>
      </c>
      <c r="AM381" s="20">
        <f t="shared" ref="AM381:AM391" si="86">AJ381*AL381</f>
        <v>12000000</v>
      </c>
      <c r="AN381" s="20"/>
      <c r="AP381" t="s">
        <v>25</v>
      </c>
    </row>
    <row r="382" spans="17:45">
      <c r="Q382" s="99" t="s">
        <v>5584</v>
      </c>
      <c r="R382" s="95">
        <v>1219655</v>
      </c>
      <c r="T382" t="s">
        <v>25</v>
      </c>
      <c r="AH382" s="20">
        <v>129</v>
      </c>
      <c r="AI382" s="20" t="s">
        <v>5368</v>
      </c>
      <c r="AJ382" s="117">
        <v>-550000</v>
      </c>
      <c r="AK382" s="20">
        <v>5</v>
      </c>
      <c r="AL382" s="20">
        <f t="shared" si="85"/>
        <v>111</v>
      </c>
      <c r="AM382" s="20">
        <f t="shared" si="86"/>
        <v>-61050000</v>
      </c>
      <c r="AN382" s="20"/>
    </row>
    <row r="383" spans="17:45">
      <c r="Q383" s="99" t="s">
        <v>5585</v>
      </c>
      <c r="R383" s="95">
        <v>15350146</v>
      </c>
      <c r="AH383" s="20">
        <v>130</v>
      </c>
      <c r="AI383" s="20" t="s">
        <v>5373</v>
      </c>
      <c r="AJ383" s="117">
        <v>-29686490</v>
      </c>
      <c r="AK383" s="20">
        <v>1</v>
      </c>
      <c r="AL383" s="20">
        <f t="shared" si="85"/>
        <v>106</v>
      </c>
      <c r="AM383" s="20">
        <f t="shared" si="86"/>
        <v>-3146767940</v>
      </c>
      <c r="AN383" s="20"/>
    </row>
    <row r="384" spans="17:45">
      <c r="Q384" s="99" t="s">
        <v>5587</v>
      </c>
      <c r="R384" s="95">
        <v>121018</v>
      </c>
      <c r="AH384" s="20">
        <v>131</v>
      </c>
      <c r="AI384" s="20" t="s">
        <v>5383</v>
      </c>
      <c r="AJ384" s="117">
        <v>-9000000</v>
      </c>
      <c r="AK384" s="20">
        <v>8</v>
      </c>
      <c r="AL384" s="20">
        <f t="shared" si="85"/>
        <v>105</v>
      </c>
      <c r="AM384" s="20">
        <f t="shared" si="86"/>
        <v>-945000000</v>
      </c>
      <c r="AN384" s="20"/>
    </row>
    <row r="385" spans="17:45">
      <c r="Q385" s="99" t="s">
        <v>5593</v>
      </c>
      <c r="R385" s="95">
        <v>1024993</v>
      </c>
      <c r="T385" t="s">
        <v>25</v>
      </c>
      <c r="AH385" s="20">
        <v>132</v>
      </c>
      <c r="AI385" s="20" t="s">
        <v>5428</v>
      </c>
      <c r="AJ385" s="117">
        <v>810000</v>
      </c>
      <c r="AK385" s="20">
        <v>2</v>
      </c>
      <c r="AL385" s="20">
        <f t="shared" si="85"/>
        <v>97</v>
      </c>
      <c r="AM385" s="20">
        <f t="shared" si="86"/>
        <v>78570000</v>
      </c>
      <c r="AN385" s="20"/>
    </row>
    <row r="386" spans="17:45">
      <c r="Q386" s="99" t="s">
        <v>5618</v>
      </c>
      <c r="R386" s="95">
        <v>1948077</v>
      </c>
      <c r="T386" t="s">
        <v>25</v>
      </c>
      <c r="AH386" s="20">
        <v>133</v>
      </c>
      <c r="AI386" s="20" t="s">
        <v>5433</v>
      </c>
      <c r="AJ386" s="117">
        <v>-5000000</v>
      </c>
      <c r="AK386" s="20">
        <v>3</v>
      </c>
      <c r="AL386" s="20">
        <f t="shared" si="85"/>
        <v>95</v>
      </c>
      <c r="AM386" s="20">
        <f t="shared" si="86"/>
        <v>-475000000</v>
      </c>
      <c r="AN386" s="20"/>
      <c r="AQ386" t="s">
        <v>25</v>
      </c>
    </row>
    <row r="387" spans="17:45">
      <c r="Q387" s="99" t="s">
        <v>5619</v>
      </c>
      <c r="R387" s="95">
        <v>50000120</v>
      </c>
      <c r="W387" s="96" t="s">
        <v>25</v>
      </c>
      <c r="AF387" s="96" t="s">
        <v>25</v>
      </c>
      <c r="AH387" s="20">
        <v>134</v>
      </c>
      <c r="AI387" s="20" t="s">
        <v>5441</v>
      </c>
      <c r="AJ387" s="117">
        <v>-26000000</v>
      </c>
      <c r="AK387" s="20">
        <v>0</v>
      </c>
      <c r="AL387" s="20">
        <f t="shared" si="85"/>
        <v>92</v>
      </c>
      <c r="AM387" s="20">
        <f t="shared" si="86"/>
        <v>-2392000000</v>
      </c>
      <c r="AN387" s="20"/>
    </row>
    <row r="388" spans="17:45">
      <c r="Q388" s="99" t="s">
        <v>5620</v>
      </c>
      <c r="R388" s="95">
        <v>20000055</v>
      </c>
      <c r="T388" t="s">
        <v>25</v>
      </c>
      <c r="AH388" s="256">
        <v>135</v>
      </c>
      <c r="AI388" s="256" t="s">
        <v>5441</v>
      </c>
      <c r="AJ388" s="247">
        <v>-26000000</v>
      </c>
      <c r="AK388" s="256">
        <v>1</v>
      </c>
      <c r="AL388" s="256">
        <f t="shared" si="85"/>
        <v>92</v>
      </c>
      <c r="AM388" s="256">
        <f t="shared" si="86"/>
        <v>-2392000000</v>
      </c>
      <c r="AN388" s="256"/>
      <c r="AS388" t="s">
        <v>25</v>
      </c>
    </row>
    <row r="389" spans="17:45">
      <c r="Q389" s="99" t="s">
        <v>5668</v>
      </c>
      <c r="R389" s="95">
        <v>5745697</v>
      </c>
      <c r="T389" t="s">
        <v>25</v>
      </c>
      <c r="AH389" s="20">
        <v>136</v>
      </c>
      <c r="AI389" s="20" t="s">
        <v>5446</v>
      </c>
      <c r="AJ389" s="117">
        <v>-81800000</v>
      </c>
      <c r="AK389" s="20">
        <v>0</v>
      </c>
      <c r="AL389" s="20">
        <f t="shared" si="85"/>
        <v>91</v>
      </c>
      <c r="AM389" s="20">
        <f t="shared" si="86"/>
        <v>-7443800000</v>
      </c>
      <c r="AN389" s="20"/>
    </row>
    <row r="390" spans="17:45">
      <c r="Q390" s="99"/>
      <c r="R390" s="95"/>
      <c r="T390" t="s">
        <v>25</v>
      </c>
      <c r="AH390" s="256">
        <v>137</v>
      </c>
      <c r="AI390" s="256" t="s">
        <v>5446</v>
      </c>
      <c r="AJ390" s="247">
        <v>-110000000</v>
      </c>
      <c r="AK390" s="256">
        <v>1</v>
      </c>
      <c r="AL390" s="256">
        <f t="shared" si="85"/>
        <v>91</v>
      </c>
      <c r="AM390" s="256">
        <f t="shared" si="86"/>
        <v>-10010000000</v>
      </c>
      <c r="AN390" s="256"/>
    </row>
    <row r="391" spans="17:45">
      <c r="Q391" s="99"/>
      <c r="R391" s="95">
        <f>SUM(R290:R390)</f>
        <v>703289238</v>
      </c>
      <c r="T391" t="s">
        <v>25</v>
      </c>
      <c r="U391" s="96" t="s">
        <v>25</v>
      </c>
      <c r="AH391" s="20">
        <v>138</v>
      </c>
      <c r="AI391" s="20" t="s">
        <v>5447</v>
      </c>
      <c r="AJ391" s="117">
        <v>-34000000</v>
      </c>
      <c r="AK391" s="20">
        <v>0</v>
      </c>
      <c r="AL391" s="20">
        <f t="shared" si="85"/>
        <v>90</v>
      </c>
      <c r="AM391" s="20">
        <f t="shared" si="86"/>
        <v>-3060000000</v>
      </c>
      <c r="AN391" s="20"/>
    </row>
    <row r="392" spans="17:45">
      <c r="Q392" s="99"/>
      <c r="R392" s="99" t="s">
        <v>6</v>
      </c>
      <c r="T392" t="s">
        <v>25</v>
      </c>
      <c r="AH392" s="149">
        <v>139</v>
      </c>
      <c r="AI392" s="149" t="s">
        <v>5447</v>
      </c>
      <c r="AJ392" s="188">
        <v>-23900000</v>
      </c>
      <c r="AK392" s="149">
        <v>5</v>
      </c>
      <c r="AL392" s="149">
        <f t="shared" ref="AL392:AL397" si="87">AK392+AL393</f>
        <v>90</v>
      </c>
      <c r="AM392" s="149">
        <f t="shared" ref="AM392:AM397" si="88">AJ392*AL392</f>
        <v>-2151000000</v>
      </c>
      <c r="AN392" s="149"/>
    </row>
    <row r="393" spans="17:45">
      <c r="T393" t="s">
        <v>25</v>
      </c>
      <c r="AH393" s="20">
        <v>140</v>
      </c>
      <c r="AI393" s="20" t="s">
        <v>5463</v>
      </c>
      <c r="AJ393" s="117">
        <v>1000000</v>
      </c>
      <c r="AK393" s="20">
        <v>0</v>
      </c>
      <c r="AL393" s="20">
        <f t="shared" si="87"/>
        <v>85</v>
      </c>
      <c r="AM393" s="20">
        <f t="shared" si="88"/>
        <v>85000000</v>
      </c>
      <c r="AN393" s="20"/>
      <c r="AR393" t="s">
        <v>25</v>
      </c>
    </row>
    <row r="394" spans="17:45">
      <c r="T394" t="s">
        <v>25</v>
      </c>
      <c r="U394" s="96" t="s">
        <v>25</v>
      </c>
      <c r="V394" t="s">
        <v>25</v>
      </c>
      <c r="AH394" s="149">
        <v>141</v>
      </c>
      <c r="AI394" s="149" t="s">
        <v>5463</v>
      </c>
      <c r="AJ394" s="188">
        <v>1000000</v>
      </c>
      <c r="AK394" s="149">
        <v>4</v>
      </c>
      <c r="AL394" s="149">
        <f t="shared" si="87"/>
        <v>85</v>
      </c>
      <c r="AM394" s="149">
        <f t="shared" si="88"/>
        <v>85000000</v>
      </c>
      <c r="AN394" s="149"/>
    </row>
    <row r="395" spans="17:45">
      <c r="Q395" t="s">
        <v>25</v>
      </c>
      <c r="T395" t="s">
        <v>25</v>
      </c>
      <c r="U395" s="96" t="s">
        <v>25</v>
      </c>
      <c r="AH395" s="20">
        <v>142</v>
      </c>
      <c r="AI395" s="20" t="s">
        <v>5469</v>
      </c>
      <c r="AJ395" s="117">
        <v>400000</v>
      </c>
      <c r="AK395" s="20">
        <v>0</v>
      </c>
      <c r="AL395" s="20">
        <f t="shared" si="87"/>
        <v>81</v>
      </c>
      <c r="AM395" s="20">
        <f t="shared" si="88"/>
        <v>32400000</v>
      </c>
      <c r="AN395" s="20"/>
    </row>
    <row r="396" spans="17:45">
      <c r="U396" s="96" t="s">
        <v>25</v>
      </c>
      <c r="AH396" s="149">
        <v>143</v>
      </c>
      <c r="AI396" s="149" t="s">
        <v>5469</v>
      </c>
      <c r="AJ396" s="188">
        <v>400000</v>
      </c>
      <c r="AK396" s="149">
        <v>35</v>
      </c>
      <c r="AL396" s="149">
        <f t="shared" si="87"/>
        <v>81</v>
      </c>
      <c r="AM396" s="149">
        <f t="shared" si="88"/>
        <v>32400000</v>
      </c>
      <c r="AN396" s="149"/>
    </row>
    <row r="397" spans="17:45">
      <c r="T397" t="s">
        <v>25</v>
      </c>
      <c r="AH397" s="20">
        <v>144</v>
      </c>
      <c r="AI397" s="20" t="s">
        <v>5518</v>
      </c>
      <c r="AJ397" s="117">
        <v>3000000</v>
      </c>
      <c r="AK397" s="20">
        <v>0</v>
      </c>
      <c r="AL397" s="20">
        <f t="shared" si="87"/>
        <v>46</v>
      </c>
      <c r="AM397" s="20">
        <f t="shared" si="88"/>
        <v>138000000</v>
      </c>
      <c r="AN397" s="20"/>
    </row>
    <row r="398" spans="17:45">
      <c r="R398" t="s">
        <v>25</v>
      </c>
      <c r="T398" t="s">
        <v>25</v>
      </c>
      <c r="U398" s="96" t="s">
        <v>25</v>
      </c>
      <c r="AH398" s="149">
        <v>145</v>
      </c>
      <c r="AI398" s="149" t="s">
        <v>5518</v>
      </c>
      <c r="AJ398" s="188">
        <v>2725000</v>
      </c>
      <c r="AK398" s="149">
        <v>19</v>
      </c>
      <c r="AL398" s="149">
        <f t="shared" ref="AL398:AL401" si="89">AK398+AL399</f>
        <v>46</v>
      </c>
      <c r="AM398" s="149">
        <f t="shared" ref="AM398:AM401" si="90">AJ398*AL398</f>
        <v>125350000</v>
      </c>
      <c r="AN398" s="149"/>
    </row>
    <row r="399" spans="17:45">
      <c r="AH399" s="149">
        <v>146</v>
      </c>
      <c r="AI399" s="149" t="s">
        <v>5394</v>
      </c>
      <c r="AJ399" s="188">
        <v>-8644090</v>
      </c>
      <c r="AK399" s="149">
        <v>0</v>
      </c>
      <c r="AL399" s="149">
        <f t="shared" si="89"/>
        <v>27</v>
      </c>
      <c r="AM399" s="149">
        <f t="shared" si="90"/>
        <v>-233390430</v>
      </c>
      <c r="AN399" s="149" t="s">
        <v>4785</v>
      </c>
    </row>
    <row r="400" spans="17:45">
      <c r="R400" t="s">
        <v>25</v>
      </c>
      <c r="U400" s="96" t="s">
        <v>25</v>
      </c>
      <c r="AH400" s="20">
        <v>147</v>
      </c>
      <c r="AI400" s="20" t="s">
        <v>5394</v>
      </c>
      <c r="AJ400" s="117">
        <v>-65461942</v>
      </c>
      <c r="AK400" s="20">
        <v>1</v>
      </c>
      <c r="AL400" s="20">
        <f t="shared" si="89"/>
        <v>27</v>
      </c>
      <c r="AM400" s="20">
        <f t="shared" si="90"/>
        <v>-1767472434</v>
      </c>
      <c r="AN400" s="20" t="s">
        <v>4785</v>
      </c>
    </row>
    <row r="401" spans="34:45">
      <c r="AH401" s="20">
        <v>148</v>
      </c>
      <c r="AI401" s="20" t="s">
        <v>5551</v>
      </c>
      <c r="AJ401" s="117">
        <v>35000000</v>
      </c>
      <c r="AK401" s="20">
        <v>15</v>
      </c>
      <c r="AL401" s="20">
        <f t="shared" si="89"/>
        <v>26</v>
      </c>
      <c r="AM401" s="20">
        <f t="shared" si="90"/>
        <v>910000000</v>
      </c>
      <c r="AN401" s="20"/>
    </row>
    <row r="402" spans="34:45">
      <c r="AH402" s="149">
        <v>149</v>
      </c>
      <c r="AI402" s="149" t="s">
        <v>5587</v>
      </c>
      <c r="AJ402" s="188">
        <v>1400000</v>
      </c>
      <c r="AK402" s="149">
        <v>0</v>
      </c>
      <c r="AL402" s="149">
        <f t="shared" ref="AL402:AL404" si="91">AK402+AL403</f>
        <v>11</v>
      </c>
      <c r="AM402" s="149">
        <f t="shared" ref="AM402:AM405" si="92">AJ402*AL402</f>
        <v>15400000</v>
      </c>
      <c r="AN402" s="149"/>
      <c r="AS402" t="s">
        <v>25</v>
      </c>
    </row>
    <row r="403" spans="34:45">
      <c r="AH403" s="20">
        <v>150</v>
      </c>
      <c r="AI403" s="20" t="s">
        <v>5587</v>
      </c>
      <c r="AJ403" s="117">
        <v>1600000</v>
      </c>
      <c r="AK403" s="20">
        <v>1</v>
      </c>
      <c r="AL403" s="20">
        <f t="shared" si="91"/>
        <v>11</v>
      </c>
      <c r="AM403" s="20">
        <f t="shared" si="92"/>
        <v>17600000</v>
      </c>
      <c r="AN403" s="20"/>
    </row>
    <row r="404" spans="34:45">
      <c r="AH404" s="149">
        <v>151</v>
      </c>
      <c r="AI404" s="149" t="s">
        <v>5592</v>
      </c>
      <c r="AJ404" s="188">
        <v>600000</v>
      </c>
      <c r="AK404" s="149">
        <v>0</v>
      </c>
      <c r="AL404" s="149">
        <f t="shared" si="91"/>
        <v>10</v>
      </c>
      <c r="AM404" s="149">
        <f t="shared" si="92"/>
        <v>6000000</v>
      </c>
      <c r="AN404" s="149" t="s">
        <v>5596</v>
      </c>
    </row>
    <row r="405" spans="34:45">
      <c r="AH405" s="20">
        <v>152</v>
      </c>
      <c r="AI405" s="20" t="s">
        <v>5592</v>
      </c>
      <c r="AJ405" s="117">
        <v>600000</v>
      </c>
      <c r="AK405" s="20">
        <v>9</v>
      </c>
      <c r="AL405" s="20">
        <f>AK405+AL406</f>
        <v>10</v>
      </c>
      <c r="AM405" s="20">
        <f t="shared" si="92"/>
        <v>6000000</v>
      </c>
      <c r="AN405" s="20" t="s">
        <v>5596</v>
      </c>
    </row>
    <row r="406" spans="34:45">
      <c r="AH406" s="20">
        <v>153</v>
      </c>
      <c r="AI406" s="20" t="s">
        <v>5620</v>
      </c>
      <c r="AJ406" s="117">
        <v>20000000</v>
      </c>
      <c r="AK406" s="20">
        <v>1</v>
      </c>
      <c r="AL406" s="20">
        <f t="shared" ref="AL406:AL413" si="93">AK406+AL407</f>
        <v>1</v>
      </c>
      <c r="AM406" s="20">
        <f t="shared" ref="AM406:AM413" si="94">AJ406*AL406</f>
        <v>20000000</v>
      </c>
      <c r="AN406" s="20" t="s">
        <v>5649</v>
      </c>
    </row>
    <row r="407" spans="34:45">
      <c r="AH407" s="20"/>
      <c r="AI407" s="20"/>
      <c r="AJ407" s="117"/>
      <c r="AK407" s="20"/>
      <c r="AL407" s="20">
        <f t="shared" si="93"/>
        <v>0</v>
      </c>
      <c r="AM407" s="20">
        <f t="shared" si="94"/>
        <v>0</v>
      </c>
      <c r="AN407" s="20"/>
    </row>
    <row r="408" spans="34:45">
      <c r="AH408" s="20"/>
      <c r="AI408" s="20"/>
      <c r="AJ408" s="117"/>
      <c r="AK408" s="20"/>
      <c r="AL408" s="20">
        <f t="shared" si="93"/>
        <v>0</v>
      </c>
      <c r="AM408" s="20">
        <f t="shared" si="94"/>
        <v>0</v>
      </c>
      <c r="AN408" s="20"/>
    </row>
    <row r="409" spans="34:45">
      <c r="AH409" s="20"/>
      <c r="AI409" s="20"/>
      <c r="AJ409" s="117"/>
      <c r="AK409" s="20"/>
      <c r="AL409" s="20">
        <f t="shared" si="93"/>
        <v>0</v>
      </c>
      <c r="AM409" s="20">
        <f t="shared" si="94"/>
        <v>0</v>
      </c>
      <c r="AN409" s="20"/>
    </row>
    <row r="410" spans="34:45">
      <c r="AH410" s="20"/>
      <c r="AI410" s="20"/>
      <c r="AJ410" s="117"/>
      <c r="AK410" s="20"/>
      <c r="AL410" s="20">
        <f t="shared" si="93"/>
        <v>0</v>
      </c>
      <c r="AM410" s="20">
        <f t="shared" si="94"/>
        <v>0</v>
      </c>
      <c r="AN410" s="20"/>
    </row>
    <row r="411" spans="34:45">
      <c r="AH411" s="20"/>
      <c r="AI411" s="20"/>
      <c r="AJ411" s="117"/>
      <c r="AK411" s="20"/>
      <c r="AL411" s="20">
        <f t="shared" si="93"/>
        <v>0</v>
      </c>
      <c r="AM411" s="20">
        <f t="shared" si="94"/>
        <v>0</v>
      </c>
      <c r="AN411" s="20"/>
    </row>
    <row r="412" spans="34:45">
      <c r="AH412" s="99"/>
      <c r="AI412" s="99"/>
      <c r="AJ412" s="117"/>
      <c r="AK412" s="99"/>
      <c r="AL412" s="20">
        <f t="shared" si="93"/>
        <v>0</v>
      </c>
      <c r="AM412" s="20">
        <f t="shared" si="94"/>
        <v>0</v>
      </c>
      <c r="AN412" s="20"/>
    </row>
    <row r="413" spans="34:45">
      <c r="AH413" s="99"/>
      <c r="AI413" s="99"/>
      <c r="AJ413" s="117"/>
      <c r="AK413" s="99"/>
      <c r="AL413" s="20">
        <f t="shared" si="93"/>
        <v>0</v>
      </c>
      <c r="AM413" s="20">
        <f t="shared" si="94"/>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2346850279.5</v>
      </c>
    </row>
    <row r="419" spans="35:45">
      <c r="AI419" t="s">
        <v>4132</v>
      </c>
      <c r="AJ419" s="114">
        <f>AJ418-AJ414</f>
        <v>2188740574.5</v>
      </c>
    </row>
    <row r="420" spans="35:45">
      <c r="AI420" t="s">
        <v>940</v>
      </c>
      <c r="AJ420" s="114">
        <f>AN414</f>
        <v>90780366.33929494</v>
      </c>
      <c r="AR420" t="s">
        <v>25</v>
      </c>
    </row>
    <row r="421" spans="35:45">
      <c r="AI421" t="s">
        <v>4061</v>
      </c>
      <c r="AJ421" s="114">
        <f>AJ419-AJ420</f>
        <v>2097960208.1607051</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00:G104857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S139:S14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5"/>
  <sheetViews>
    <sheetView topLeftCell="A106" zoomScale="85" zoomScaleNormal="85" workbookViewId="0">
      <selection activeCell="J132" sqref="J132"/>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5434</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5435</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5437</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5436</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5497</v>
      </c>
      <c r="B77" s="121" t="s">
        <v>4396</v>
      </c>
      <c r="C77" s="79">
        <v>1348.1</v>
      </c>
      <c r="D77" s="121">
        <v>22264</v>
      </c>
      <c r="E77" s="291" t="s">
        <v>4382</v>
      </c>
      <c r="F77" s="292">
        <v>7159.6</v>
      </c>
      <c r="G77" s="121">
        <f>C77*D77*0.99025/(F77*1.00464)</f>
        <v>4132.100996929863</v>
      </c>
      <c r="H77" s="222">
        <f t="shared" ref="H77:H95" si="8">C77/F77</f>
        <v>0.18829264204704171</v>
      </c>
      <c r="I77" s="310">
        <f t="shared" si="7"/>
        <v>5.3108819820488105</v>
      </c>
      <c r="J77" s="99"/>
      <c r="K77" s="99"/>
      <c r="L77" s="99"/>
      <c r="M77" s="99"/>
      <c r="N77" s="99"/>
      <c r="O77" s="96"/>
      <c r="P77" s="96"/>
      <c r="Q77" s="96"/>
      <c r="R77" s="96"/>
      <c r="S77" s="96"/>
      <c r="T77" s="96"/>
    </row>
    <row r="78" spans="1:20">
      <c r="A78" s="121" t="s">
        <v>5497</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5505</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5508</v>
      </c>
      <c r="B80" s="121" t="s">
        <v>4396</v>
      </c>
      <c r="C80" s="79">
        <v>1509.3</v>
      </c>
      <c r="D80" s="121">
        <v>2000</v>
      </c>
      <c r="E80" s="291" t="s">
        <v>4382</v>
      </c>
      <c r="F80" s="292">
        <v>7614.2</v>
      </c>
      <c r="G80" s="121">
        <f>C80*D80*0.99025/(F80*1.00464)</f>
        <v>390.76501350614762</v>
      </c>
      <c r="H80" s="222">
        <f t="shared" si="8"/>
        <v>0.19822174358435554</v>
      </c>
      <c r="I80" s="310">
        <f t="shared" ref="I80:I95" si="9">F80/C80</f>
        <v>5.0448552309017423</v>
      </c>
      <c r="J80" s="99"/>
      <c r="K80" s="99"/>
      <c r="L80" s="293">
        <f>49/1044.7</f>
        <v>4.6903417248970992E-2</v>
      </c>
      <c r="M80" s="293">
        <f>1-L80</f>
        <v>0.95309658275102904</v>
      </c>
      <c r="N80" s="99"/>
      <c r="O80" s="96"/>
      <c r="P80" s="96"/>
      <c r="Q80" s="96"/>
      <c r="R80" s="96"/>
      <c r="S80" s="96"/>
      <c r="T80" s="96"/>
    </row>
    <row r="81" spans="1:25">
      <c r="A81" s="293" t="s">
        <v>5526</v>
      </c>
      <c r="B81" s="293" t="s">
        <v>4233</v>
      </c>
      <c r="C81" s="295">
        <f>689.1*M80</f>
        <v>656.77885517373409</v>
      </c>
      <c r="D81" s="293">
        <v>10732</v>
      </c>
      <c r="E81" s="296" t="s">
        <v>4515</v>
      </c>
      <c r="F81" s="49">
        <v>2696.3</v>
      </c>
      <c r="G81" s="293">
        <f t="shared" ref="G81:G99"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5530</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5518</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5518</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5518</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5654</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c r="S87" s="96" t="s">
        <v>25</v>
      </c>
      <c r="T87" s="96"/>
    </row>
    <row r="88" spans="1:25">
      <c r="A88" s="293" t="s">
        <v>5661</v>
      </c>
      <c r="B88" s="293" t="s">
        <v>4233</v>
      </c>
      <c r="C88" s="295">
        <v>1026.9000000000001</v>
      </c>
      <c r="D88" s="293">
        <v>12806</v>
      </c>
      <c r="E88" s="62" t="s">
        <v>4378</v>
      </c>
      <c r="F88" s="51">
        <v>12935</v>
      </c>
      <c r="G88" s="293">
        <f>C88*D88*0.99025/(F88*1.0046399)</f>
        <v>1002.096734434953</v>
      </c>
      <c r="H88" s="294">
        <f>C88/F88</f>
        <v>7.9389253962118295E-2</v>
      </c>
      <c r="I88" s="311">
        <f>F88/C88</f>
        <v>12.596163209660141</v>
      </c>
      <c r="J88" s="99"/>
      <c r="K88" s="99"/>
      <c r="L88" s="99"/>
      <c r="M88" s="99"/>
      <c r="N88" s="99"/>
      <c r="O88" s="96"/>
      <c r="P88" s="96"/>
      <c r="Q88" s="96" t="s">
        <v>25</v>
      </c>
      <c r="R88" s="96" t="s">
        <v>25</v>
      </c>
      <c r="S88" s="96"/>
      <c r="T88" s="96"/>
    </row>
    <row r="89" spans="1:25">
      <c r="A89" s="293"/>
      <c r="B89" s="293"/>
      <c r="C89" s="295"/>
      <c r="D89" s="293"/>
      <c r="E89" s="62"/>
      <c r="F89" s="51"/>
      <c r="G89" s="293"/>
      <c r="H89" s="294"/>
      <c r="I89" s="311"/>
      <c r="J89" s="99"/>
      <c r="K89" s="99"/>
      <c r="L89" s="99"/>
      <c r="M89" s="99"/>
      <c r="N89" s="99"/>
      <c r="O89" s="96"/>
      <c r="P89" s="96"/>
      <c r="Q89" s="96"/>
      <c r="R89" s="96" t="s">
        <v>25</v>
      </c>
      <c r="S89" s="96"/>
      <c r="T89" s="96"/>
    </row>
    <row r="90" spans="1:25">
      <c r="A90" s="293"/>
      <c r="B90" s="293"/>
      <c r="C90" s="295"/>
      <c r="D90" s="293"/>
      <c r="E90" s="62"/>
      <c r="F90" s="51"/>
      <c r="G90" s="293" t="e">
        <f>C90*D90*0.99025/(F90*1.0046399)</f>
        <v>#DIV/0!</v>
      </c>
      <c r="H90" s="294" t="e">
        <f>C90/F90</f>
        <v>#DIV/0!</v>
      </c>
      <c r="I90" s="311" t="e">
        <f>F90/C90</f>
        <v>#DIV/0!</v>
      </c>
      <c r="J90" s="99"/>
      <c r="K90" s="99"/>
      <c r="L90" s="99"/>
      <c r="M90" s="99"/>
      <c r="N90" s="99"/>
      <c r="O90" s="96"/>
      <c r="P90" s="96"/>
      <c r="Q90" s="96"/>
      <c r="R90" s="96"/>
      <c r="S90" s="96"/>
      <c r="T90" s="96"/>
    </row>
    <row r="91" spans="1:25">
      <c r="A91" s="293"/>
      <c r="B91" s="293"/>
      <c r="C91" s="295">
        <f>C121</f>
        <v>1180</v>
      </c>
      <c r="D91" s="293">
        <v>1</v>
      </c>
      <c r="E91" s="62" t="s">
        <v>4378</v>
      </c>
      <c r="F91" s="51">
        <f>C123</f>
        <v>14350</v>
      </c>
      <c r="G91" s="293">
        <f>C91*D91*0.99025/(F91*1.0046399)</f>
        <v>8.1052149129768464E-2</v>
      </c>
      <c r="H91" s="294">
        <f>C91/F91</f>
        <v>8.2229965156794427E-2</v>
      </c>
      <c r="I91" s="311">
        <f>F91/C91</f>
        <v>12.161016949152541</v>
      </c>
      <c r="J91" s="99"/>
      <c r="K91" s="99">
        <f>H91/H88</f>
        <v>1.0357820618396492</v>
      </c>
      <c r="L91" s="99">
        <f>(1/K91-1.03)*100</f>
        <v>-6.4545936986103776</v>
      </c>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303"/>
      <c r="B93" s="303"/>
      <c r="C93" s="304"/>
      <c r="D93" s="303"/>
      <c r="E93" s="303"/>
      <c r="F93" s="304"/>
      <c r="G93" s="303"/>
      <c r="H93" s="305"/>
      <c r="I93" s="312"/>
      <c r="J93" s="303"/>
      <c r="K93" s="303"/>
      <c r="L93" s="303"/>
      <c r="M93" s="303"/>
      <c r="N93" s="99"/>
      <c r="O93" s="96"/>
      <c r="P93" s="96"/>
      <c r="Q93" s="96"/>
      <c r="R93" s="99" t="s">
        <v>1083</v>
      </c>
      <c r="S93" s="99"/>
      <c r="T93" s="99"/>
      <c r="U93" s="99"/>
      <c r="V93" s="99"/>
      <c r="W93" s="99"/>
      <c r="X93" s="99"/>
      <c r="Y93" s="99"/>
    </row>
    <row r="94" spans="1:25" ht="18.75">
      <c r="A94" s="293" t="s">
        <v>5514</v>
      </c>
      <c r="B94" s="293" t="s">
        <v>4233</v>
      </c>
      <c r="C94" s="295">
        <v>591</v>
      </c>
      <c r="D94" s="293">
        <v>10061</v>
      </c>
      <c r="E94" s="291" t="s">
        <v>4382</v>
      </c>
      <c r="F94" s="292">
        <v>8480</v>
      </c>
      <c r="G94" s="300">
        <f t="shared" si="10"/>
        <v>691.14187397343187</v>
      </c>
      <c r="H94" s="299">
        <f t="shared" si="8"/>
        <v>6.96933962264151E-2</v>
      </c>
      <c r="I94" s="311">
        <f t="shared" si="9"/>
        <v>14.348561759729272</v>
      </c>
      <c r="J94" s="99" t="s">
        <v>452</v>
      </c>
      <c r="K94" s="313">
        <v>1</v>
      </c>
      <c r="L94" s="99"/>
      <c r="M94" s="99" t="s">
        <v>25</v>
      </c>
      <c r="N94" s="99"/>
      <c r="O94" s="96"/>
      <c r="P94" s="96"/>
      <c r="Q94" s="96"/>
      <c r="R94" s="99"/>
      <c r="S94" s="99"/>
      <c r="T94" s="99" t="s">
        <v>934</v>
      </c>
      <c r="U94" s="99" t="s">
        <v>937</v>
      </c>
      <c r="V94" s="99" t="s">
        <v>5491</v>
      </c>
      <c r="W94" s="69" t="s">
        <v>1232</v>
      </c>
      <c r="X94" s="69" t="s">
        <v>938</v>
      </c>
      <c r="Y94" s="69" t="s">
        <v>5523</v>
      </c>
    </row>
    <row r="95" spans="1:25" ht="18.75">
      <c r="A95" s="293" t="s">
        <v>5515</v>
      </c>
      <c r="B95" s="293" t="s">
        <v>4233</v>
      </c>
      <c r="C95" s="295">
        <v>612</v>
      </c>
      <c r="D95" s="293">
        <v>27000</v>
      </c>
      <c r="E95" s="291" t="s">
        <v>4382</v>
      </c>
      <c r="F95" s="292">
        <v>8367</v>
      </c>
      <c r="G95" s="300">
        <f t="shared" si="10"/>
        <v>1946.6140153469364</v>
      </c>
      <c r="H95" s="299">
        <f t="shared" si="8"/>
        <v>7.3144496235209758E-2</v>
      </c>
      <c r="I95" s="311">
        <f t="shared" si="9"/>
        <v>13.671568627450981</v>
      </c>
      <c r="J95" s="99"/>
      <c r="K95" s="313">
        <f t="shared" ref="K95:K106" si="13">H95/H94</f>
        <v>1.0495183216151924</v>
      </c>
      <c r="L95" s="99"/>
      <c r="M95" s="99"/>
      <c r="N95" s="99"/>
      <c r="O95" s="96"/>
      <c r="P95" s="96"/>
      <c r="Q95" s="96"/>
      <c r="R95" s="99"/>
      <c r="S95" s="99" t="s">
        <v>4382</v>
      </c>
      <c r="T95" s="99">
        <v>874</v>
      </c>
      <c r="U95" s="117">
        <v>6337102</v>
      </c>
      <c r="V95" s="117">
        <f>U95/T95</f>
        <v>7250.6887871853551</v>
      </c>
      <c r="W95" s="117">
        <f>V95*1.01</f>
        <v>7323.195675057209</v>
      </c>
      <c r="X95" s="99">
        <f>'برنامه 5 ساله'!P48</f>
        <v>13273</v>
      </c>
      <c r="Y95" s="117">
        <f>T95*X95</f>
        <v>11600602</v>
      </c>
    </row>
    <row r="96" spans="1:25" ht="18.75">
      <c r="A96" s="293" t="s">
        <v>5526</v>
      </c>
      <c r="B96" s="293" t="s">
        <v>4233</v>
      </c>
      <c r="C96" s="295">
        <v>657</v>
      </c>
      <c r="D96" s="293">
        <v>76080</v>
      </c>
      <c r="E96" s="291" t="s">
        <v>4382</v>
      </c>
      <c r="F96" s="292">
        <v>8758.5</v>
      </c>
      <c r="G96" s="300">
        <f>C96*D96*0.99025/(F96*1.0046399)</f>
        <v>5625.2336724943307</v>
      </c>
      <c r="H96" s="299">
        <f>C96/F96</f>
        <v>7.501284466518239E-2</v>
      </c>
      <c r="I96" s="311">
        <f>F96/C96</f>
        <v>13.331050228310502</v>
      </c>
      <c r="J96" s="99" t="s">
        <v>452</v>
      </c>
      <c r="K96" s="313">
        <f t="shared" si="13"/>
        <v>1.025543253780361</v>
      </c>
      <c r="L96" s="99" t="s">
        <v>25</v>
      </c>
      <c r="M96" s="99"/>
      <c r="N96" s="99"/>
      <c r="R96" s="99"/>
      <c r="S96" s="99" t="s">
        <v>4233</v>
      </c>
      <c r="T96" s="99">
        <v>295000</v>
      </c>
      <c r="U96" s="117">
        <v>148594302</v>
      </c>
      <c r="V96" s="117">
        <f>U96/T96</f>
        <v>503.70949830508476</v>
      </c>
      <c r="W96" s="117">
        <f>V96*1.01</f>
        <v>508.74659328813561</v>
      </c>
      <c r="X96" s="99">
        <f>'برنامه 5 ساله'!P31</f>
        <v>1181.9000000000001</v>
      </c>
      <c r="Y96" s="117">
        <f>T96*X96</f>
        <v>348660500</v>
      </c>
    </row>
    <row r="97" spans="1:27" ht="18.75">
      <c r="A97" s="293" t="s">
        <v>4855</v>
      </c>
      <c r="B97" s="293" t="s">
        <v>4233</v>
      </c>
      <c r="C97" s="295">
        <v>626.4</v>
      </c>
      <c r="D97" s="293">
        <v>15063</v>
      </c>
      <c r="E97" s="291" t="s">
        <v>4382</v>
      </c>
      <c r="F97" s="292">
        <v>8338</v>
      </c>
      <c r="G97" s="300">
        <f>C97*D97*0.99025/(F97*1.0046399)</f>
        <v>1115.4131569540707</v>
      </c>
      <c r="H97" s="299">
        <f>C97/F97</f>
        <v>7.5125929479491482E-2</v>
      </c>
      <c r="I97" s="311">
        <f>F97/C97</f>
        <v>13.310983397190295</v>
      </c>
      <c r="J97" s="99" t="s">
        <v>749</v>
      </c>
      <c r="K97" s="313">
        <f t="shared" si="13"/>
        <v>1.0015075393396136</v>
      </c>
      <c r="L97" s="99"/>
      <c r="M97" s="99"/>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5518</v>
      </c>
      <c r="B98" s="293" t="s">
        <v>4233</v>
      </c>
      <c r="C98" s="295">
        <v>626.4</v>
      </c>
      <c r="D98" s="293">
        <v>128144</v>
      </c>
      <c r="E98" s="291" t="s">
        <v>4382</v>
      </c>
      <c r="F98" s="292">
        <v>8337.2999999999993</v>
      </c>
      <c r="G98" s="300">
        <f>C98*D98*0.99025/(F98*1.0046399)</f>
        <v>9489.8429454085781</v>
      </c>
      <c r="H98" s="299">
        <f>C98/F98</f>
        <v>7.5132237055161741E-2</v>
      </c>
      <c r="I98" s="311">
        <f>F98/C98</f>
        <v>13.309865900383141</v>
      </c>
      <c r="J98" s="99" t="s">
        <v>452</v>
      </c>
      <c r="K98" s="313">
        <f t="shared" si="13"/>
        <v>1.0000839600350233</v>
      </c>
      <c r="L98" s="99"/>
      <c r="M98" s="99"/>
      <c r="N98" s="99"/>
      <c r="R98" s="99" t="s">
        <v>5490</v>
      </c>
      <c r="S98" s="99" t="s">
        <v>5387</v>
      </c>
      <c r="T98" s="99">
        <v>0</v>
      </c>
      <c r="U98" s="117">
        <v>683292</v>
      </c>
      <c r="V98" s="117"/>
      <c r="W98" s="117"/>
      <c r="X98" s="99">
        <f>'برنامه 5 ساله'!P49</f>
        <v>772.2</v>
      </c>
      <c r="Y98" s="117">
        <f>U98</f>
        <v>683292</v>
      </c>
    </row>
    <row r="99" spans="1:27" ht="18.75">
      <c r="A99" s="293" t="s">
        <v>5526</v>
      </c>
      <c r="B99" s="293" t="s">
        <v>4233</v>
      </c>
      <c r="C99" s="295">
        <v>656.8</v>
      </c>
      <c r="D99" s="293">
        <v>72223</v>
      </c>
      <c r="E99" s="291" t="s">
        <v>4382</v>
      </c>
      <c r="F99" s="292">
        <v>8740</v>
      </c>
      <c r="G99" s="300">
        <f t="shared" si="10"/>
        <v>5349.7275420381093</v>
      </c>
      <c r="H99" s="299">
        <f>C99/F99</f>
        <v>7.5148741418764292E-2</v>
      </c>
      <c r="I99" s="311">
        <f>F99/C99</f>
        <v>13.306942752740561</v>
      </c>
      <c r="J99" s="99" t="s">
        <v>749</v>
      </c>
      <c r="K99" s="313">
        <f t="shared" si="13"/>
        <v>1.0002196708663211</v>
      </c>
      <c r="L99" s="99"/>
      <c r="M99" s="99" t="s">
        <v>25</v>
      </c>
      <c r="N99" s="99"/>
      <c r="R99" s="99" t="s">
        <v>5490</v>
      </c>
      <c r="S99" s="99" t="s">
        <v>4547</v>
      </c>
      <c r="T99" s="99">
        <v>0</v>
      </c>
      <c r="U99" s="117">
        <v>270969</v>
      </c>
      <c r="V99" s="117"/>
      <c r="W99" s="117"/>
      <c r="X99" s="99">
        <v>1500</v>
      </c>
      <c r="Y99" s="117">
        <f>U99</f>
        <v>270969</v>
      </c>
      <c r="AA99" t="s">
        <v>25</v>
      </c>
    </row>
    <row r="100" spans="1:27" ht="18.75">
      <c r="A100" s="293" t="s">
        <v>5587</v>
      </c>
      <c r="B100" s="293" t="s">
        <v>4233</v>
      </c>
      <c r="C100" s="295">
        <v>864.7</v>
      </c>
      <c r="D100" s="293">
        <v>10000</v>
      </c>
      <c r="E100" s="291" t="s">
        <v>4382</v>
      </c>
      <c r="F100" s="292">
        <v>11527.3</v>
      </c>
      <c r="G100" s="300">
        <f t="shared" ref="G100" si="14">C100*D100*0.99025/(F100*1.0046399)</f>
        <v>739.38781922452472</v>
      </c>
      <c r="H100" s="302">
        <f t="shared" ref="H100" si="15">C100/F100</f>
        <v>7.5013229463968156E-2</v>
      </c>
      <c r="I100" s="311">
        <f t="shared" ref="I100" si="16">F100/C100</f>
        <v>13.3309818434139</v>
      </c>
      <c r="J100" s="99" t="s">
        <v>452</v>
      </c>
      <c r="K100" s="313">
        <f t="shared" si="13"/>
        <v>0.99819675017521581</v>
      </c>
      <c r="L100" s="99"/>
      <c r="M100" s="99"/>
      <c r="N100" s="99">
        <f>88/73</f>
        <v>1.2054794520547945</v>
      </c>
      <c r="R100" s="99"/>
      <c r="S100" s="99"/>
      <c r="T100" s="99"/>
      <c r="U100" s="117"/>
      <c r="V100" s="117"/>
      <c r="W100" s="99"/>
      <c r="X100" s="99"/>
      <c r="Y100" s="99"/>
    </row>
    <row r="101" spans="1:27" ht="18.75">
      <c r="A101" s="293" t="s">
        <v>5587</v>
      </c>
      <c r="B101" s="293" t="s">
        <v>4233</v>
      </c>
      <c r="C101" s="295">
        <v>872.5</v>
      </c>
      <c r="D101" s="293">
        <v>50000</v>
      </c>
      <c r="E101" s="291" t="s">
        <v>4382</v>
      </c>
      <c r="F101" s="292">
        <v>11575</v>
      </c>
      <c r="G101" s="300">
        <f>C101*D101*0.99025/(F101*1.0046399)</f>
        <v>3714.9148942439683</v>
      </c>
      <c r="H101" s="302">
        <f>C101/F101</f>
        <v>7.5377969762419006E-2</v>
      </c>
      <c r="I101" s="311">
        <f>F101/C101</f>
        <v>13.26647564469914</v>
      </c>
      <c r="J101" s="99" t="s">
        <v>452</v>
      </c>
      <c r="K101" s="313">
        <f t="shared" si="13"/>
        <v>1.0048623462962096</v>
      </c>
      <c r="L101" s="99"/>
      <c r="M101" s="99"/>
      <c r="N101" s="99"/>
      <c r="R101" s="99"/>
      <c r="S101" s="99"/>
      <c r="T101" s="99"/>
      <c r="U101" s="117"/>
      <c r="V101" s="117"/>
      <c r="W101" s="99"/>
      <c r="X101" s="99"/>
      <c r="Y101" s="99"/>
    </row>
    <row r="102" spans="1:27" ht="18.75">
      <c r="A102" s="293" t="s">
        <v>5530</v>
      </c>
      <c r="B102" s="293" t="s">
        <v>4233</v>
      </c>
      <c r="C102" s="295">
        <v>689.6</v>
      </c>
      <c r="D102" s="293">
        <v>78468</v>
      </c>
      <c r="E102" s="291" t="s">
        <v>4382</v>
      </c>
      <c r="F102" s="292">
        <v>9036.6</v>
      </c>
      <c r="G102" s="300">
        <f t="shared" ref="G102" si="17">C102*D102*0.99025/(F102*1.0046399)</f>
        <v>5902.271813569685</v>
      </c>
      <c r="H102" s="302">
        <f t="shared" ref="H102" si="18">C102/F102</f>
        <v>7.6311887214217736E-2</v>
      </c>
      <c r="I102" s="311">
        <f t="shared" ref="I102" si="19">F102/C102</f>
        <v>13.104118329466358</v>
      </c>
      <c r="J102" s="99" t="s">
        <v>452</v>
      </c>
      <c r="K102" s="313">
        <f t="shared" si="13"/>
        <v>1.0123897931284473</v>
      </c>
      <c r="L102" s="99"/>
      <c r="M102" s="99"/>
      <c r="N102" s="99" t="s">
        <v>25</v>
      </c>
      <c r="R102" s="99"/>
      <c r="S102" s="99"/>
      <c r="T102" s="99"/>
      <c r="U102" s="117">
        <v>159900000</v>
      </c>
      <c r="V102" s="117"/>
      <c r="W102" s="99"/>
      <c r="X102" s="99"/>
      <c r="Y102" s="95">
        <f>SUM(Y95:Y99)</f>
        <v>368625363</v>
      </c>
    </row>
    <row r="103" spans="1:27" ht="18.75">
      <c r="A103" s="293" t="s">
        <v>5587</v>
      </c>
      <c r="B103" s="293" t="s">
        <v>4233</v>
      </c>
      <c r="C103" s="295">
        <v>887.6</v>
      </c>
      <c r="D103" s="293">
        <v>100000</v>
      </c>
      <c r="E103" s="291" t="s">
        <v>4382</v>
      </c>
      <c r="F103" s="292">
        <v>11626.4</v>
      </c>
      <c r="G103" s="300">
        <f>C103*D103*0.99025/(F103*1.0046399)</f>
        <v>7524.9992608494231</v>
      </c>
      <c r="H103" s="302">
        <f>C103/F103</f>
        <v>7.6343494116837551E-2</v>
      </c>
      <c r="I103" s="311">
        <f>F103/C103</f>
        <v>13.098693105002253</v>
      </c>
      <c r="J103" s="99" t="s">
        <v>452</v>
      </c>
      <c r="K103" s="313">
        <f t="shared" si="13"/>
        <v>1.000414180591958</v>
      </c>
      <c r="L103" s="99"/>
      <c r="M103" s="99" t="s">
        <v>25</v>
      </c>
      <c r="N103" s="99"/>
      <c r="R103" s="99"/>
      <c r="S103" s="99"/>
      <c r="T103" s="99"/>
      <c r="U103" s="117"/>
      <c r="V103" s="117"/>
      <c r="W103" s="99"/>
      <c r="X103" s="99"/>
      <c r="Y103" s="99"/>
    </row>
    <row r="104" spans="1:27" ht="18.75">
      <c r="A104" s="293" t="s">
        <v>5587</v>
      </c>
      <c r="B104" s="293" t="s">
        <v>4233</v>
      </c>
      <c r="C104" s="295">
        <v>896.4</v>
      </c>
      <c r="D104" s="293">
        <v>70000</v>
      </c>
      <c r="E104" s="291" t="s">
        <v>4382</v>
      </c>
      <c r="F104" s="292">
        <v>11707</v>
      </c>
      <c r="G104" s="300">
        <f>C104*D104*0.99025/(F104*1.0046399)</f>
        <v>5283.0983808820829</v>
      </c>
      <c r="H104" s="302">
        <f>C104/F104</f>
        <v>7.6569573759289314E-2</v>
      </c>
      <c r="I104" s="311">
        <f>F104/C104</f>
        <v>13.060017849174477</v>
      </c>
      <c r="J104" s="99" t="s">
        <v>452</v>
      </c>
      <c r="K104" s="313">
        <f t="shared" si="13"/>
        <v>1.0029613478537642</v>
      </c>
      <c r="L104" s="99"/>
      <c r="M104" s="99"/>
      <c r="N104" s="99"/>
      <c r="R104" s="99"/>
      <c r="S104" s="99"/>
      <c r="T104" s="99"/>
      <c r="U104" s="99"/>
      <c r="V104" s="99"/>
      <c r="W104" s="99"/>
      <c r="X104" s="99"/>
      <c r="Y104" s="99"/>
    </row>
    <row r="105" spans="1:27" ht="18.75">
      <c r="A105" s="293" t="s">
        <v>5587</v>
      </c>
      <c r="B105" s="293" t="s">
        <v>4233</v>
      </c>
      <c r="C105" s="295">
        <v>899.9</v>
      </c>
      <c r="D105" s="293">
        <v>10000</v>
      </c>
      <c r="E105" s="291" t="s">
        <v>4382</v>
      </c>
      <c r="F105" s="292">
        <v>11720.1</v>
      </c>
      <c r="G105" s="300">
        <f>C105*D105*0.99025/(F105*1.0046399)</f>
        <v>756.82829988070523</v>
      </c>
      <c r="H105" s="302">
        <f>C105/F105</f>
        <v>7.6782621308691901E-2</v>
      </c>
      <c r="I105" s="311">
        <f>F105/C105</f>
        <v>13.023780420046673</v>
      </c>
      <c r="J105" s="99" t="s">
        <v>452</v>
      </c>
      <c r="K105" s="313">
        <f t="shared" si="13"/>
        <v>1.0027824047979206</v>
      </c>
      <c r="L105" s="325">
        <f>SUM(G94:G115)</f>
        <v>126111.65106468408</v>
      </c>
      <c r="M105" s="221" t="s">
        <v>4382</v>
      </c>
      <c r="N105" s="99"/>
      <c r="R105" s="99"/>
      <c r="S105" s="99"/>
      <c r="T105" s="99"/>
      <c r="U105" s="99"/>
      <c r="V105" s="99"/>
      <c r="W105" s="99"/>
      <c r="X105" s="99"/>
      <c r="Y105" s="99"/>
    </row>
    <row r="106" spans="1:27" ht="18.75">
      <c r="A106" s="293" t="s">
        <v>5587</v>
      </c>
      <c r="B106" s="293" t="s">
        <v>4233</v>
      </c>
      <c r="C106" s="295">
        <v>903</v>
      </c>
      <c r="D106" s="293">
        <v>5000</v>
      </c>
      <c r="E106" s="291" t="s">
        <v>4382</v>
      </c>
      <c r="F106" s="292">
        <v>11760</v>
      </c>
      <c r="G106" s="300">
        <f>C106*D106*0.99025/(F106*1.0046399)</f>
        <v>378.42939331510013</v>
      </c>
      <c r="H106" s="302">
        <f>C106/F106</f>
        <v>7.678571428571429E-2</v>
      </c>
      <c r="I106" s="311">
        <f>F106/C106</f>
        <v>13.023255813953488</v>
      </c>
      <c r="J106" s="99" t="s">
        <v>452</v>
      </c>
      <c r="K106" s="313">
        <f t="shared" si="13"/>
        <v>1.0000402822535839</v>
      </c>
      <c r="L106" s="62">
        <f>SUM(G87:G89)</f>
        <v>1093.0993573039168</v>
      </c>
      <c r="M106" s="62" t="s">
        <v>4378</v>
      </c>
      <c r="N106" s="99"/>
    </row>
    <row r="107" spans="1:27" ht="19.5">
      <c r="A107" s="293" t="s">
        <v>5587</v>
      </c>
      <c r="B107" s="293" t="s">
        <v>4233</v>
      </c>
      <c r="C107" s="295">
        <v>906.8</v>
      </c>
      <c r="D107" s="293">
        <v>130000</v>
      </c>
      <c r="E107" s="291" t="s">
        <v>4382</v>
      </c>
      <c r="F107" s="292">
        <v>11735</v>
      </c>
      <c r="G107" s="300">
        <f t="shared" ref="G107:G113" si="20">C107*D107*0.99025/(F107*1.0046399)</f>
        <v>9901.61870646231</v>
      </c>
      <c r="H107" s="307">
        <f t="shared" ref="H107:H113" si="21">C107/F107</f>
        <v>7.7273114614401353E-2</v>
      </c>
      <c r="I107" s="311">
        <f t="shared" ref="I107:I113" si="22">F107/C107</f>
        <v>12.941111601235113</v>
      </c>
      <c r="J107" s="99" t="s">
        <v>452</v>
      </c>
      <c r="K107" s="313">
        <f>H107/H106</f>
        <v>1.0063475391642966</v>
      </c>
      <c r="L107" s="23"/>
      <c r="M107" s="23"/>
      <c r="N107" s="99"/>
    </row>
    <row r="108" spans="1:27" ht="19.5">
      <c r="A108" s="293" t="s">
        <v>5619</v>
      </c>
      <c r="B108" s="293" t="s">
        <v>4233</v>
      </c>
      <c r="C108" s="295">
        <v>864.2</v>
      </c>
      <c r="D108" s="293">
        <v>26009</v>
      </c>
      <c r="E108" s="291" t="s">
        <v>4382</v>
      </c>
      <c r="F108" s="292">
        <v>11077.1</v>
      </c>
      <c r="G108" s="300">
        <f t="shared" si="20"/>
        <v>2000.0749421864657</v>
      </c>
      <c r="H108" s="307">
        <f t="shared" si="21"/>
        <v>7.8016809453737887E-2</v>
      </c>
      <c r="I108" s="311">
        <f t="shared" si="22"/>
        <v>12.817750520712798</v>
      </c>
      <c r="J108" s="99" t="s">
        <v>5637</v>
      </c>
      <c r="K108" s="313">
        <f t="shared" ref="K108" si="23">H108/H107</f>
        <v>1.0096242379131166</v>
      </c>
      <c r="L108" s="99"/>
      <c r="M108" s="99"/>
      <c r="N108" s="99"/>
      <c r="O108" t="s">
        <v>25</v>
      </c>
      <c r="R108" s="99" t="s">
        <v>749</v>
      </c>
      <c r="S108" s="99"/>
      <c r="T108" s="99"/>
      <c r="U108" s="99"/>
      <c r="V108" s="99"/>
      <c r="W108" s="99" t="s">
        <v>1232</v>
      </c>
      <c r="X108" s="99" t="s">
        <v>938</v>
      </c>
      <c r="Y108" s="69" t="s">
        <v>5523</v>
      </c>
      <c r="Z108" t="s">
        <v>25</v>
      </c>
    </row>
    <row r="109" spans="1:27" ht="19.5">
      <c r="A109" s="293" t="s">
        <v>5654</v>
      </c>
      <c r="B109" s="293" t="s">
        <v>4233</v>
      </c>
      <c r="C109" s="295">
        <v>934.23</v>
      </c>
      <c r="D109" s="293">
        <v>221667</v>
      </c>
      <c r="E109" s="291" t="s">
        <v>4382</v>
      </c>
      <c r="F109" s="292">
        <v>11460.4</v>
      </c>
      <c r="G109" s="300">
        <f t="shared" si="20"/>
        <v>17811.049289881688</v>
      </c>
      <c r="H109" s="307">
        <f t="shared" si="21"/>
        <v>8.1518097099577677E-2</v>
      </c>
      <c r="I109" s="311">
        <f t="shared" si="22"/>
        <v>12.26721471158066</v>
      </c>
      <c r="J109" s="99" t="s">
        <v>5637</v>
      </c>
      <c r="K109" s="313">
        <f>H109/H108</f>
        <v>1.0448786315456282</v>
      </c>
      <c r="L109" s="99"/>
      <c r="M109" s="99"/>
      <c r="N109" s="99"/>
      <c r="R109" s="99"/>
      <c r="S109" s="99" t="s">
        <v>4382</v>
      </c>
      <c r="T109" s="99">
        <v>4279</v>
      </c>
      <c r="U109" s="117">
        <v>32796123</v>
      </c>
      <c r="V109" s="117">
        <f>U109/T109</f>
        <v>7664.436316896471</v>
      </c>
      <c r="W109" s="117">
        <f>V109*1.01</f>
        <v>7741.0806800654354</v>
      </c>
      <c r="X109" s="99">
        <f>X95</f>
        <v>13273</v>
      </c>
      <c r="Y109" s="99">
        <f>T109*X109</f>
        <v>56795167</v>
      </c>
    </row>
    <row r="110" spans="1:27" ht="19.5">
      <c r="A110" s="293" t="s">
        <v>5654</v>
      </c>
      <c r="B110" s="293" t="s">
        <v>4233</v>
      </c>
      <c r="C110" s="295">
        <v>934.6</v>
      </c>
      <c r="D110" s="293">
        <v>40614</v>
      </c>
      <c r="E110" s="291" t="s">
        <v>4382</v>
      </c>
      <c r="F110" s="292">
        <v>11320.47</v>
      </c>
      <c r="G110" s="300">
        <f t="shared" si="20"/>
        <v>3305.0003637538775</v>
      </c>
      <c r="H110" s="307">
        <f t="shared" si="21"/>
        <v>8.2558409677336728E-2</v>
      </c>
      <c r="I110" s="311">
        <f t="shared" si="22"/>
        <v>12.112636421998715</v>
      </c>
      <c r="J110" s="99" t="s">
        <v>452</v>
      </c>
      <c r="K110" s="313">
        <f>H110/H109</f>
        <v>1.0127617377585283</v>
      </c>
      <c r="L110" s="99"/>
      <c r="M110" s="99"/>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5657</v>
      </c>
      <c r="B111" s="293" t="s">
        <v>4233</v>
      </c>
      <c r="C111" s="295">
        <v>978.9</v>
      </c>
      <c r="D111" s="293">
        <v>251315</v>
      </c>
      <c r="E111" s="291" t="s">
        <v>4382</v>
      </c>
      <c r="F111" s="292">
        <v>11330.71</v>
      </c>
      <c r="G111" s="300">
        <f t="shared" si="20"/>
        <v>21400.99884150939</v>
      </c>
      <c r="H111" s="307">
        <f t="shared" si="21"/>
        <v>8.6393526972272705E-2</v>
      </c>
      <c r="I111" s="311">
        <f t="shared" si="22"/>
        <v>11.57494126059863</v>
      </c>
      <c r="J111" s="99"/>
      <c r="K111" s="313">
        <f t="shared" ref="K111:K112" si="24">H111/H110</f>
        <v>1.0464533814292787</v>
      </c>
      <c r="L111" s="99"/>
      <c r="M111" s="99"/>
      <c r="N111" s="99"/>
      <c r="R111" s="99"/>
      <c r="S111" s="99" t="s">
        <v>4233</v>
      </c>
      <c r="T111" s="99">
        <v>12936</v>
      </c>
      <c r="U111" s="117">
        <v>6322162</v>
      </c>
      <c r="V111" s="117">
        <f>U111/T111</f>
        <v>488.72619047619048</v>
      </c>
      <c r="W111" s="117">
        <f>V111*1.01</f>
        <v>493.61345238095237</v>
      </c>
      <c r="X111" s="99">
        <f>X96</f>
        <v>1181.9000000000001</v>
      </c>
      <c r="Y111" s="99">
        <f>T111*X111</f>
        <v>15289058.4</v>
      </c>
    </row>
    <row r="112" spans="1:27" ht="19.5">
      <c r="A112" s="293" t="s">
        <v>5661</v>
      </c>
      <c r="B112" s="293" t="s">
        <v>4233</v>
      </c>
      <c r="C112" s="295">
        <v>1026.9000000000001</v>
      </c>
      <c r="D112" s="293">
        <v>237194</v>
      </c>
      <c r="E112" s="291" t="s">
        <v>4382</v>
      </c>
      <c r="F112" s="292">
        <v>11692.1</v>
      </c>
      <c r="G112" s="300">
        <f t="shared" si="20"/>
        <v>20534.009582083836</v>
      </c>
      <c r="H112" s="307">
        <f t="shared" si="21"/>
        <v>8.7828533796324021E-2</v>
      </c>
      <c r="I112" s="311">
        <f t="shared" si="22"/>
        <v>11.385821404226311</v>
      </c>
      <c r="J112" s="99"/>
      <c r="K112" s="313">
        <f t="shared" si="24"/>
        <v>1.0166101196969521</v>
      </c>
      <c r="L112" s="99"/>
      <c r="M112" s="99"/>
      <c r="N112" s="99"/>
      <c r="R112" s="99"/>
      <c r="S112" s="99" t="s">
        <v>5387</v>
      </c>
      <c r="T112" s="99">
        <v>4687</v>
      </c>
      <c r="U112" s="117">
        <v>1911597</v>
      </c>
      <c r="V112" s="117">
        <f>U112/T112</f>
        <v>407.85086409216984</v>
      </c>
      <c r="W112" s="117">
        <f>V112*1.01</f>
        <v>411.92937273309155</v>
      </c>
      <c r="X112" s="99">
        <f>X98</f>
        <v>772.2</v>
      </c>
      <c r="Y112" s="99">
        <f>T112*X112</f>
        <v>3619301.4000000004</v>
      </c>
    </row>
    <row r="113" spans="1:25" ht="19.5">
      <c r="A113" s="293" t="s">
        <v>5668</v>
      </c>
      <c r="B113" s="293" t="s">
        <v>4233</v>
      </c>
      <c r="C113" s="295">
        <v>1181.4000000000001</v>
      </c>
      <c r="D113" s="293">
        <v>29225</v>
      </c>
      <c r="E113" s="291" t="s">
        <v>4382</v>
      </c>
      <c r="F113" s="292">
        <v>12886</v>
      </c>
      <c r="G113" s="300">
        <f t="shared" si="20"/>
        <v>2640.9962706255606</v>
      </c>
      <c r="H113" s="307">
        <f t="shared" si="21"/>
        <v>9.1680893993481311E-2</v>
      </c>
      <c r="I113" s="311">
        <f t="shared" si="22"/>
        <v>10.907398002370069</v>
      </c>
      <c r="J113" s="99"/>
      <c r="K113" s="313">
        <f>H113/H112</f>
        <v>1.0438622851895829</v>
      </c>
      <c r="L113" s="99"/>
      <c r="M113" s="99"/>
      <c r="N113" s="99"/>
      <c r="R113" s="99" t="s">
        <v>5490</v>
      </c>
      <c r="S113" s="99" t="s">
        <v>4547</v>
      </c>
      <c r="T113" s="99">
        <v>0</v>
      </c>
      <c r="U113" s="117">
        <v>180438</v>
      </c>
      <c r="V113" s="117"/>
      <c r="W113" s="117"/>
      <c r="X113" s="99">
        <f>X99</f>
        <v>1500</v>
      </c>
      <c r="Y113" s="95">
        <f>U113</f>
        <v>180438</v>
      </c>
    </row>
    <row r="114" spans="1:25" ht="19.5">
      <c r="A114" s="293"/>
      <c r="B114" s="293"/>
      <c r="C114" s="295"/>
      <c r="D114" s="293"/>
      <c r="E114" s="291"/>
      <c r="F114" s="292"/>
      <c r="G114" s="300"/>
      <c r="H114" s="307"/>
      <c r="I114" s="311"/>
      <c r="J114" s="99"/>
      <c r="K114" s="313"/>
      <c r="L114" s="99"/>
      <c r="M114" s="99"/>
      <c r="N114" s="99"/>
      <c r="R114" s="99"/>
      <c r="S114" s="99"/>
      <c r="T114" s="99"/>
      <c r="U114" s="117"/>
      <c r="V114" s="117"/>
      <c r="W114" s="117"/>
      <c r="X114" s="99"/>
      <c r="Y114" s="99"/>
    </row>
    <row r="115" spans="1:25" ht="27" customHeight="1">
      <c r="A115" s="293"/>
      <c r="B115" s="293"/>
      <c r="C115" s="295"/>
      <c r="D115" s="293"/>
      <c r="E115" s="291"/>
      <c r="F115" s="292"/>
      <c r="G115" s="300"/>
      <c r="H115" s="302"/>
      <c r="I115" s="311"/>
      <c r="J115" s="99"/>
      <c r="K115" s="313">
        <f>H115/H113</f>
        <v>0</v>
      </c>
      <c r="L115" s="99"/>
      <c r="M115" s="99"/>
      <c r="N115" s="99"/>
      <c r="R115" s="99"/>
      <c r="S115" s="99"/>
      <c r="T115" s="99"/>
      <c r="U115" s="117">
        <v>141800000</v>
      </c>
      <c r="V115" s="117"/>
      <c r="W115" s="117"/>
      <c r="X115" s="99"/>
      <c r="Y115" s="95">
        <f>SUM(Y109:Y113)</f>
        <v>259183964.80000001</v>
      </c>
    </row>
    <row r="116" spans="1:25" ht="15.75">
      <c r="A116" s="293"/>
      <c r="B116" s="293"/>
      <c r="C116" s="295"/>
      <c r="D116" s="293"/>
      <c r="E116" s="291"/>
      <c r="F116" s="292"/>
      <c r="G116" s="300" t="e">
        <f t="shared" ref="G116" si="25">C116*D116*0.99025/(F116*1.0046399)</f>
        <v>#DIV/0!</v>
      </c>
      <c r="H116" s="302" t="e">
        <f t="shared" ref="H116" si="26">C116/F116</f>
        <v>#DIV/0!</v>
      </c>
      <c r="I116" s="311" t="e">
        <f t="shared" ref="I116" si="27">F116/C116</f>
        <v>#DIV/0!</v>
      </c>
      <c r="J116" s="99" t="s">
        <v>452</v>
      </c>
      <c r="K116" s="99" t="s">
        <v>25</v>
      </c>
      <c r="L116" s="99" t="s">
        <v>25</v>
      </c>
      <c r="M116" s="99"/>
      <c r="N116" s="99"/>
    </row>
    <row r="117" spans="1:25">
      <c r="A117" s="306"/>
      <c r="B117" s="306"/>
      <c r="C117" s="306"/>
      <c r="D117" s="306"/>
      <c r="E117" s="306"/>
      <c r="F117" s="306"/>
      <c r="G117" s="306"/>
      <c r="H117" s="306"/>
      <c r="I117" s="306"/>
      <c r="J117" s="318"/>
      <c r="K117" s="318"/>
      <c r="L117" s="319" t="s">
        <v>5575</v>
      </c>
      <c r="M117" s="303"/>
      <c r="N117" s="99"/>
    </row>
    <row r="118" spans="1:25" ht="18.75">
      <c r="A118" s="293" t="s">
        <v>5584</v>
      </c>
      <c r="B118" s="293" t="s">
        <v>4233</v>
      </c>
      <c r="C118" s="321">
        <f>C121</f>
        <v>1180</v>
      </c>
      <c r="D118" s="293">
        <v>1</v>
      </c>
      <c r="E118" s="291" t="s">
        <v>4382</v>
      </c>
      <c r="F118" s="320">
        <f>C122</f>
        <v>12900</v>
      </c>
      <c r="G118" s="293">
        <f>C118*D118*0.99025/(C122*1.0046399)</f>
        <v>9.0162662016447861E-2</v>
      </c>
      <c r="H118" s="294">
        <f>C118/F118</f>
        <v>9.1472868217054262E-2</v>
      </c>
      <c r="I118" s="294">
        <f>F118/C118</f>
        <v>10.932203389830509</v>
      </c>
      <c r="J118" s="99"/>
      <c r="K118" s="314">
        <f>H118/H113</f>
        <v>0.99773098006175809</v>
      </c>
      <c r="L118" s="315">
        <f>(1/K118-1.03)*100</f>
        <v>-2.7725819901772031</v>
      </c>
      <c r="M118" s="99">
        <f>H107*1.01</f>
        <v>7.8045845760545365E-2</v>
      </c>
      <c r="N118" s="99">
        <f>1/M118</f>
        <v>12.812981783401103</v>
      </c>
      <c r="R118" t="s">
        <v>25</v>
      </c>
      <c r="W118" t="s">
        <v>5524</v>
      </c>
      <c r="X118" s="114">
        <f>Y102+Y115-U102-U115</f>
        <v>326109327.79999995</v>
      </c>
    </row>
    <row r="119" spans="1:25">
      <c r="A119" s="293"/>
      <c r="B119" s="96"/>
      <c r="C119" s="96"/>
      <c r="D119" s="96"/>
      <c r="E119" s="96"/>
      <c r="F119" s="96"/>
      <c r="G119" s="96"/>
      <c r="H119" s="96"/>
      <c r="I119" s="96"/>
      <c r="J119" s="96"/>
      <c r="K119" s="96"/>
      <c r="L119" s="96"/>
      <c r="M119" s="99">
        <f>M118*1.01</f>
        <v>7.8826304218150817E-2</v>
      </c>
      <c r="N119" s="99">
        <f t="shared" ref="N119:N133" si="28">1/M119</f>
        <v>12.686120577624855</v>
      </c>
    </row>
    <row r="120" spans="1:25">
      <c r="A120" s="87"/>
      <c r="B120" s="96"/>
      <c r="C120" s="96"/>
      <c r="D120" s="96"/>
      <c r="E120" s="96"/>
      <c r="F120" s="96"/>
      <c r="G120" s="96"/>
      <c r="H120" s="96"/>
      <c r="I120" s="96"/>
      <c r="J120" s="96"/>
      <c r="K120" s="96"/>
      <c r="L120" s="96"/>
      <c r="M120" s="99">
        <f t="shared" ref="M120:M133" si="29">M119*1.01</f>
        <v>7.9614567260332322E-2</v>
      </c>
      <c r="N120" s="99">
        <f t="shared" si="28"/>
        <v>12.560515423390946</v>
      </c>
    </row>
    <row r="121" spans="1:25" ht="21">
      <c r="C121" s="317">
        <v>1180</v>
      </c>
      <c r="D121" t="s">
        <v>25</v>
      </c>
      <c r="G121" t="s">
        <v>25</v>
      </c>
      <c r="M121" s="99">
        <f t="shared" si="29"/>
        <v>8.0410712932935641E-2</v>
      </c>
      <c r="N121" s="99">
        <f t="shared" si="28"/>
        <v>12.436153884545492</v>
      </c>
    </row>
    <row r="122" spans="1:25" ht="21">
      <c r="C122" s="316">
        <v>12900</v>
      </c>
      <c r="I122" s="96" t="s">
        <v>5660</v>
      </c>
      <c r="J122" t="s">
        <v>25</v>
      </c>
      <c r="M122" s="99">
        <f t="shared" si="29"/>
        <v>8.1214820062264992E-2</v>
      </c>
      <c r="N122" s="99">
        <f t="shared" si="28"/>
        <v>12.313023648064844</v>
      </c>
      <c r="R122" t="s">
        <v>25</v>
      </c>
    </row>
    <row r="123" spans="1:25">
      <c r="C123" s="324">
        <v>14350</v>
      </c>
      <c r="G123" s="96"/>
      <c r="H123" s="96"/>
      <c r="K123" t="s">
        <v>25</v>
      </c>
      <c r="L123" t="s">
        <v>25</v>
      </c>
      <c r="M123" s="99">
        <f t="shared" si="29"/>
        <v>8.2026968262887648E-2</v>
      </c>
      <c r="N123" s="99">
        <f t="shared" si="28"/>
        <v>12.191112522836479</v>
      </c>
    </row>
    <row r="124" spans="1:25">
      <c r="C124" s="96"/>
      <c r="F124" s="326" t="s">
        <v>5594</v>
      </c>
      <c r="G124" s="326"/>
      <c r="H124" s="96"/>
      <c r="J124" t="s">
        <v>25</v>
      </c>
      <c r="M124" s="99">
        <f t="shared" si="29"/>
        <v>8.284723794551653E-2</v>
      </c>
      <c r="N124" s="99">
        <f t="shared" si="28"/>
        <v>12.070408438451958</v>
      </c>
    </row>
    <row r="125" spans="1:25">
      <c r="C125" s="115"/>
      <c r="D125" s="115"/>
      <c r="E125" s="115"/>
      <c r="F125" s="327" t="s">
        <v>5595</v>
      </c>
      <c r="G125" s="327"/>
      <c r="H125" s="96"/>
      <c r="M125" s="99">
        <f t="shared" si="29"/>
        <v>8.3675710324971703E-2</v>
      </c>
      <c r="N125" s="99">
        <f t="shared" si="28"/>
        <v>11.950899444011839</v>
      </c>
    </row>
    <row r="126" spans="1:25">
      <c r="C126" s="96"/>
      <c r="D126" s="96"/>
      <c r="E126" s="96"/>
      <c r="F126" s="96"/>
      <c r="G126" s="96"/>
      <c r="H126" s="96"/>
      <c r="I126" s="96"/>
      <c r="J126" t="s">
        <v>25</v>
      </c>
      <c r="M126" s="99">
        <f t="shared" si="29"/>
        <v>8.4512467428221424E-2</v>
      </c>
      <c r="N126" s="99">
        <f t="shared" si="28"/>
        <v>11.832573706942414</v>
      </c>
    </row>
    <row r="127" spans="1:25">
      <c r="B127" s="96"/>
      <c r="C127" s="96"/>
      <c r="D127" s="96"/>
      <c r="E127" s="96"/>
      <c r="F127" s="96"/>
      <c r="G127" s="96"/>
      <c r="H127" s="96"/>
      <c r="I127" s="96"/>
      <c r="M127" s="99">
        <f t="shared" si="29"/>
        <v>8.535759210250364E-2</v>
      </c>
      <c r="N127" s="99">
        <f t="shared" si="28"/>
        <v>11.715419511824171</v>
      </c>
    </row>
    <row r="128" spans="1:25">
      <c r="C128">
        <f>D112-250000</f>
        <v>-12806</v>
      </c>
      <c r="M128" s="99">
        <f t="shared" si="29"/>
        <v>8.6211168023528684E-2</v>
      </c>
      <c r="N128" s="99">
        <f t="shared" si="28"/>
        <v>11.599425259231852</v>
      </c>
    </row>
    <row r="129" spans="2:14">
      <c r="J129" s="301"/>
      <c r="M129" s="99">
        <f t="shared" si="29"/>
        <v>8.7073279703763967E-2</v>
      </c>
      <c r="N129" s="99">
        <f t="shared" si="28"/>
        <v>11.484579464585993</v>
      </c>
    </row>
    <row r="130" spans="2:14">
      <c r="M130" s="99">
        <f t="shared" si="29"/>
        <v>8.794401250080161E-2</v>
      </c>
      <c r="N130" s="99">
        <f t="shared" si="28"/>
        <v>11.370870757015835</v>
      </c>
    </row>
    <row r="131" spans="2:14">
      <c r="M131" s="99">
        <f t="shared" si="29"/>
        <v>8.8823452625809624E-2</v>
      </c>
      <c r="N131" s="99">
        <f t="shared" si="28"/>
        <v>11.258287878233499</v>
      </c>
    </row>
    <row r="132" spans="2:14">
      <c r="J132" t="s">
        <v>25</v>
      </c>
      <c r="K132" s="96"/>
      <c r="M132" s="99">
        <f t="shared" si="29"/>
        <v>8.9711687152067718E-2</v>
      </c>
      <c r="N132" s="99">
        <f t="shared" si="28"/>
        <v>11.146819681419307</v>
      </c>
    </row>
    <row r="133" spans="2:14">
      <c r="B133" s="96"/>
      <c r="C133" s="96"/>
      <c r="D133" s="96"/>
      <c r="E133" s="96"/>
      <c r="M133" s="99">
        <f t="shared" si="29"/>
        <v>9.0608804023588396E-2</v>
      </c>
      <c r="N133" s="99">
        <f t="shared" si="28"/>
        <v>11.036455130118126</v>
      </c>
    </row>
    <row r="134" spans="2:14">
      <c r="B134" s="96"/>
      <c r="C134" s="96"/>
      <c r="D134" s="96"/>
      <c r="E134" s="96"/>
      <c r="F134" s="122"/>
      <c r="G134" s="122"/>
      <c r="H134" s="96"/>
      <c r="I134" s="96"/>
      <c r="J134" s="96"/>
    </row>
    <row r="135" spans="2:14">
      <c r="B135" s="96"/>
      <c r="C135" s="96"/>
      <c r="D135" s="96"/>
      <c r="E135" s="96"/>
      <c r="H135" s="96"/>
      <c r="I135" s="96"/>
    </row>
    <row r="136" spans="2:14">
      <c r="B136" s="96"/>
      <c r="C136" s="96" t="s">
        <v>5669</v>
      </c>
      <c r="D136" s="96">
        <v>4690</v>
      </c>
      <c r="E136" s="96"/>
      <c r="F136" s="96"/>
      <c r="G136" s="96"/>
      <c r="H136" s="96"/>
      <c r="I136" s="96"/>
      <c r="J136" s="96"/>
      <c r="M136" t="s">
        <v>25</v>
      </c>
    </row>
    <row r="137" spans="2:14">
      <c r="B137" s="96"/>
      <c r="C137" s="96"/>
      <c r="D137" s="96"/>
      <c r="E137" s="96"/>
      <c r="F137" s="96"/>
      <c r="G137" s="96"/>
      <c r="H137" s="96"/>
      <c r="I137" s="96"/>
      <c r="J137" s="96"/>
    </row>
    <row r="138" spans="2:14">
      <c r="B138" s="96"/>
      <c r="C138" s="96"/>
      <c r="D138" s="96"/>
      <c r="E138" s="96"/>
      <c r="F138" s="96"/>
      <c r="G138" s="96"/>
      <c r="I138" s="96"/>
      <c r="J138" s="96"/>
    </row>
    <row r="139" spans="2:14">
      <c r="B139" s="96"/>
      <c r="C139" s="96"/>
      <c r="D139" s="96"/>
      <c r="E139" s="96"/>
      <c r="F139" s="96"/>
      <c r="G139" s="96"/>
      <c r="I139" s="96"/>
      <c r="J139" s="96"/>
    </row>
    <row r="140" spans="2:14">
      <c r="B140" s="96"/>
      <c r="C140" s="96"/>
      <c r="D140" s="96"/>
      <c r="E140" s="96"/>
      <c r="F140" s="96"/>
      <c r="G140" s="96"/>
      <c r="H140" s="96"/>
      <c r="I140" s="96"/>
      <c r="J140" s="96"/>
      <c r="M140" t="s">
        <v>25</v>
      </c>
    </row>
    <row r="141" spans="2:14">
      <c r="B141" s="96"/>
      <c r="C141" s="96"/>
      <c r="D141" s="96"/>
      <c r="E141" s="96"/>
      <c r="F141" s="96"/>
      <c r="G141" s="96"/>
      <c r="H141" s="96"/>
      <c r="I141" s="96"/>
      <c r="J141" s="96"/>
    </row>
    <row r="142" spans="2:14">
      <c r="B142" s="96"/>
      <c r="C142" s="96"/>
      <c r="D142" s="96"/>
      <c r="E142" s="96"/>
      <c r="F142" s="96"/>
      <c r="G142" s="96"/>
      <c r="H142" s="96"/>
      <c r="I142" s="96"/>
      <c r="J142" s="96"/>
    </row>
    <row r="143" spans="2:14">
      <c r="B143" s="96"/>
      <c r="C143" s="96"/>
      <c r="D143" s="96"/>
      <c r="E143" s="96"/>
      <c r="F143" s="96"/>
      <c r="I143" s="96"/>
      <c r="J143" s="96"/>
    </row>
    <row r="144" spans="2:14">
      <c r="B144" s="96"/>
      <c r="C144" s="96"/>
      <c r="D144" s="96"/>
      <c r="E144" s="96"/>
      <c r="F144" s="96"/>
      <c r="I144" s="96"/>
      <c r="J144" s="96"/>
    </row>
    <row r="145" spans="1:10">
      <c r="B145" s="96"/>
      <c r="C145" s="96"/>
      <c r="D145" s="96"/>
      <c r="E145" s="96"/>
      <c r="F145" s="96"/>
      <c r="G145" s="117"/>
      <c r="I145" s="96"/>
      <c r="J145" s="96"/>
    </row>
    <row r="146" spans="1:10">
      <c r="B146" s="96"/>
      <c r="C146" s="96"/>
      <c r="D146" s="96"/>
      <c r="E146" s="96"/>
      <c r="F146" s="96"/>
      <c r="I146" s="96"/>
      <c r="J146" s="96"/>
    </row>
    <row r="147" spans="1:10">
      <c r="B147" s="96"/>
      <c r="C147" s="96"/>
      <c r="D147" s="96"/>
      <c r="E147" s="96"/>
      <c r="F147" s="96"/>
      <c r="I147" s="96"/>
      <c r="J147" s="96"/>
    </row>
    <row r="150" spans="1:10">
      <c r="I150" s="114"/>
    </row>
    <row r="151" spans="1:10">
      <c r="G151" s="96"/>
      <c r="H151" s="96"/>
    </row>
    <row r="152" spans="1:10">
      <c r="G152" s="96"/>
      <c r="H152" s="96"/>
    </row>
    <row r="153" spans="1:10">
      <c r="G153" s="96"/>
      <c r="H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H171" t="s">
        <v>25</v>
      </c>
    </row>
    <row r="172" spans="1:10">
      <c r="H172" t="s">
        <v>25</v>
      </c>
    </row>
    <row r="175" spans="1:10">
      <c r="I175" t="s">
        <v>25</v>
      </c>
    </row>
  </sheetData>
  <mergeCells count="2">
    <mergeCell ref="F124:G124"/>
    <mergeCell ref="F125:G125"/>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J327" zoomScale="85" zoomScaleNormal="85" workbookViewId="0">
      <selection activeCell="Q355" sqref="Q35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5240</v>
      </c>
      <c r="J222" s="273">
        <f>L222-L221+7000000</f>
        <v>4431891</v>
      </c>
      <c r="K222" s="272" t="s">
        <v>5241</v>
      </c>
      <c r="L222" s="274">
        <v>1011364540</v>
      </c>
      <c r="M222" s="274">
        <v>634014280</v>
      </c>
      <c r="N222" s="273">
        <f t="shared" si="23"/>
        <v>1645378820</v>
      </c>
      <c r="O222" s="273">
        <f t="shared" si="24"/>
        <v>-1137902</v>
      </c>
      <c r="P222" s="273">
        <f>N222-N221+7000000</f>
        <v>3293989</v>
      </c>
      <c r="Q222" s="229">
        <v>-7000000</v>
      </c>
    </row>
    <row r="223" spans="9:19">
      <c r="I223" s="216" t="s">
        <v>5243</v>
      </c>
      <c r="J223" s="244">
        <f t="shared" si="21"/>
        <v>-12364540</v>
      </c>
      <c r="K223" s="216" t="s">
        <v>5242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5246</v>
      </c>
      <c r="L226" s="84">
        <v>995000000</v>
      </c>
      <c r="M226" s="84">
        <v>625000000</v>
      </c>
      <c r="N226" s="113">
        <f t="shared" si="23"/>
        <v>1620000000</v>
      </c>
      <c r="O226" s="113">
        <f t="shared" si="24"/>
        <v>-2621912</v>
      </c>
      <c r="P226" s="113">
        <f t="shared" si="25"/>
        <v>-8262288</v>
      </c>
      <c r="Q226" s="229">
        <v>0</v>
      </c>
    </row>
    <row r="227" spans="9:19">
      <c r="I227" s="189" t="s">
        <v>5247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5251</v>
      </c>
      <c r="L230" s="84">
        <v>981346829</v>
      </c>
      <c r="M230" s="84">
        <v>616768631</v>
      </c>
      <c r="N230" s="113">
        <f>L230+M230</f>
        <v>1598115460</v>
      </c>
      <c r="O230" s="113">
        <f t="shared" si="24"/>
        <v>-231369</v>
      </c>
      <c r="P230" s="113">
        <f t="shared" si="25"/>
        <v>-2584540</v>
      </c>
      <c r="Q230" s="229">
        <v>0</v>
      </c>
    </row>
    <row r="231" spans="9:19">
      <c r="I231" s="189" t="s">
        <v>5253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5252</v>
      </c>
      <c r="L232" s="84">
        <v>982764273</v>
      </c>
      <c r="M232" s="84">
        <v>618232370</v>
      </c>
      <c r="N232" s="113">
        <f t="shared" si="23"/>
        <v>1600996643</v>
      </c>
      <c r="O232" s="113">
        <f t="shared" si="24"/>
        <v>9817180</v>
      </c>
      <c r="P232" s="113">
        <f t="shared" si="25"/>
        <v>27833689</v>
      </c>
      <c r="Q232" s="229">
        <v>0</v>
      </c>
    </row>
    <row r="233" spans="9:19">
      <c r="I233" s="189" t="s">
        <v>5257</v>
      </c>
      <c r="J233" s="188">
        <f>L233-L232+990760</f>
        <v>270597</v>
      </c>
      <c r="K233" s="189" t="s">
        <v>5256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5264</v>
      </c>
      <c r="L237" s="84">
        <v>973935836</v>
      </c>
      <c r="M237" s="84">
        <v>612781866</v>
      </c>
      <c r="N237" s="113">
        <f t="shared" si="23"/>
        <v>1586717702</v>
      </c>
      <c r="O237" s="113">
        <f t="shared" si="24"/>
        <v>-4703074</v>
      </c>
      <c r="P237" s="113">
        <f t="shared" si="25"/>
        <v>-14274043</v>
      </c>
      <c r="Q237" s="229">
        <v>0</v>
      </c>
    </row>
    <row r="238" spans="9:19">
      <c r="I238" s="216" t="s">
        <v>5266</v>
      </c>
      <c r="J238" s="244">
        <f>L238-L237-101268</f>
        <v>10034013</v>
      </c>
      <c r="K238" s="216" t="s">
        <v>5265</v>
      </c>
      <c r="L238" s="245">
        <v>984071117</v>
      </c>
      <c r="M238" s="245">
        <v>619527192</v>
      </c>
      <c r="N238" s="244">
        <f t="shared" si="23"/>
        <v>1603598309</v>
      </c>
      <c r="O238" s="244">
        <f t="shared" si="24"/>
        <v>6745326</v>
      </c>
      <c r="P238" s="244">
        <f>N238-N237-101268</f>
        <v>16779339</v>
      </c>
      <c r="Q238" s="229">
        <v>101268</v>
      </c>
    </row>
    <row r="239" spans="9:19">
      <c r="I239" s="275" t="s">
        <v>5267</v>
      </c>
      <c r="J239" s="94">
        <f>L239-L238-101000</f>
        <v>-5512506</v>
      </c>
      <c r="K239" s="275" t="s">
        <v>5268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5278</v>
      </c>
      <c r="L246" s="84">
        <v>998587209</v>
      </c>
      <c r="M246" s="84">
        <v>628989460</v>
      </c>
      <c r="N246" s="113">
        <f t="shared" si="27"/>
        <v>1627576669</v>
      </c>
      <c r="O246" s="113">
        <f t="shared" si="28"/>
        <v>-386804</v>
      </c>
      <c r="P246" s="113">
        <f t="shared" si="28"/>
        <v>-378799</v>
      </c>
      <c r="Q246" s="229">
        <v>0</v>
      </c>
    </row>
    <row r="247" spans="9:19">
      <c r="I247" s="189" t="s">
        <v>5280</v>
      </c>
      <c r="J247" s="188">
        <f t="shared" si="26"/>
        <v>57939414</v>
      </c>
      <c r="K247" s="189" t="s">
        <v>5279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5287</v>
      </c>
      <c r="L255" s="84">
        <v>1154946925</v>
      </c>
      <c r="M255" s="84">
        <v>724493233</v>
      </c>
      <c r="N255" s="220">
        <f t="shared" si="31"/>
        <v>1879440158</v>
      </c>
      <c r="O255" s="113">
        <f t="shared" si="32"/>
        <v>3771085</v>
      </c>
      <c r="P255" s="113">
        <f t="shared" si="33"/>
        <v>9561690</v>
      </c>
      <c r="Q255" s="229">
        <v>0</v>
      </c>
    </row>
    <row r="256" spans="9:19">
      <c r="I256" s="213" t="s">
        <v>5288</v>
      </c>
      <c r="J256" s="113">
        <f t="shared" si="30"/>
        <v>40761008</v>
      </c>
      <c r="K256" s="213" t="s">
        <v>5289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5291</v>
      </c>
      <c r="L257" s="84">
        <v>1204397532</v>
      </c>
      <c r="M257" s="84">
        <v>768290500</v>
      </c>
      <c r="N257" s="220">
        <f t="shared" si="31"/>
        <v>1972688032</v>
      </c>
      <c r="O257" s="113">
        <f t="shared" si="32"/>
        <v>4065339</v>
      </c>
      <c r="P257" s="113">
        <f t="shared" si="33"/>
        <v>12754938</v>
      </c>
      <c r="Q257" s="229">
        <v>0</v>
      </c>
    </row>
    <row r="258" spans="9:19">
      <c r="I258" s="189" t="s">
        <v>5294</v>
      </c>
      <c r="J258" s="188">
        <f>L258-L257+488602</f>
        <v>5275127</v>
      </c>
      <c r="K258" s="189" t="s">
        <v>5292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5307</v>
      </c>
      <c r="L262" s="84">
        <v>1153433035</v>
      </c>
      <c r="M262" s="84">
        <v>736240181</v>
      </c>
      <c r="N262" s="113">
        <f t="shared" si="31"/>
        <v>1889673216</v>
      </c>
      <c r="O262" s="113">
        <f t="shared" si="32"/>
        <v>-19759819</v>
      </c>
      <c r="P262" s="113">
        <f t="shared" si="33"/>
        <v>-46326784</v>
      </c>
      <c r="Q262" s="229">
        <v>0</v>
      </c>
    </row>
    <row r="263" spans="9:19">
      <c r="I263" s="216" t="s">
        <v>5309</v>
      </c>
      <c r="J263" s="244">
        <f>L263-L262-360000</f>
        <v>-33793035</v>
      </c>
      <c r="K263" s="216" t="s">
        <v>5308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5320</v>
      </c>
      <c r="J268" s="188">
        <f>L268-L267+3600000</f>
        <v>6784521</v>
      </c>
      <c r="K268" s="189" t="s">
        <v>5316</v>
      </c>
      <c r="L268" s="237">
        <v>1227517149</v>
      </c>
      <c r="M268" s="237">
        <v>781946723</v>
      </c>
      <c r="N268" s="220">
        <f>L268+M268</f>
        <v>2009463872</v>
      </c>
      <c r="O268" s="188">
        <f t="shared" si="36"/>
        <v>648802</v>
      </c>
      <c r="P268" s="188">
        <f>N268-N267+3600000</f>
        <v>7433323</v>
      </c>
      <c r="Q268" s="229">
        <v>-3600000</v>
      </c>
    </row>
    <row r="269" spans="9:19">
      <c r="I269" s="216" t="s">
        <v>5322</v>
      </c>
      <c r="J269" s="244">
        <f t="shared" si="34"/>
        <v>8668842</v>
      </c>
      <c r="K269" s="216" t="s">
        <v>5319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5328</v>
      </c>
      <c r="L270" s="84">
        <v>1295586377</v>
      </c>
      <c r="M270" s="84">
        <v>830602955</v>
      </c>
      <c r="N270" s="220">
        <f t="shared" si="35"/>
        <v>2126189332</v>
      </c>
      <c r="O270" s="113">
        <f t="shared" si="36"/>
        <v>39667491</v>
      </c>
      <c r="P270" s="113">
        <f>N270-N269</f>
        <v>99067877</v>
      </c>
      <c r="Q270" s="229">
        <v>0</v>
      </c>
    </row>
    <row r="271" spans="9:19">
      <c r="I271" s="189" t="s">
        <v>5330</v>
      </c>
      <c r="J271" s="188">
        <f>L271-L270+1000000</f>
        <v>21062163</v>
      </c>
      <c r="K271" s="189" t="s">
        <v>5329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5332</v>
      </c>
      <c r="L272" s="84">
        <v>1290000000</v>
      </c>
      <c r="M272" s="84">
        <v>830000000</v>
      </c>
      <c r="N272" s="113">
        <f t="shared" si="35"/>
        <v>2120000000</v>
      </c>
      <c r="O272" s="113">
        <f t="shared" si="36"/>
        <v>-7889920</v>
      </c>
      <c r="P272" s="113">
        <f>N272-N271</f>
        <v>-33538460</v>
      </c>
    </row>
    <row r="273" spans="4:23">
      <c r="I273" s="213"/>
      <c r="J273" s="113">
        <f t="shared" si="34"/>
        <v>5173477</v>
      </c>
      <c r="K273" s="213" t="s">
        <v>5336</v>
      </c>
      <c r="L273" s="84">
        <v>1295173477</v>
      </c>
      <c r="M273" s="84">
        <v>832119130</v>
      </c>
      <c r="N273" s="113">
        <f t="shared" si="35"/>
        <v>2127292607</v>
      </c>
      <c r="O273" s="113">
        <f t="shared" si="36"/>
        <v>2119130</v>
      </c>
      <c r="P273" s="113">
        <f>N273-N272</f>
        <v>7292607</v>
      </c>
    </row>
    <row r="274" spans="4:23">
      <c r="D274" t="s">
        <v>25</v>
      </c>
      <c r="I274" s="216" t="s">
        <v>5309</v>
      </c>
      <c r="J274" s="244">
        <f>L274-L273-360000</f>
        <v>-3379409</v>
      </c>
      <c r="K274" s="216" t="s">
        <v>5337</v>
      </c>
      <c r="L274" s="245">
        <v>1292154068</v>
      </c>
      <c r="M274" s="245">
        <v>833033746</v>
      </c>
      <c r="N274" s="244">
        <f t="shared" si="35"/>
        <v>2125187814</v>
      </c>
      <c r="O274" s="244">
        <f t="shared" si="36"/>
        <v>914616</v>
      </c>
      <c r="P274" s="244">
        <f>N274-N273-360000</f>
        <v>-2464793</v>
      </c>
      <c r="Q274" s="229">
        <v>360000</v>
      </c>
    </row>
    <row r="275" spans="4:23">
      <c r="I275" s="216" t="s">
        <v>5341</v>
      </c>
      <c r="J275" s="244">
        <f>L275-L274-2000000</f>
        <v>-22946012</v>
      </c>
      <c r="K275" s="216" t="s">
        <v>5340</v>
      </c>
      <c r="L275" s="245">
        <v>1271208056</v>
      </c>
      <c r="M275" s="245">
        <v>825161254</v>
      </c>
      <c r="N275" s="244">
        <f t="shared" si="35"/>
        <v>2096369310</v>
      </c>
      <c r="O275" s="244">
        <f t="shared" si="36"/>
        <v>-7872492</v>
      </c>
      <c r="P275" s="244">
        <f>N275-N274-2000000</f>
        <v>-30818504</v>
      </c>
      <c r="Q275" s="229">
        <v>2000000</v>
      </c>
    </row>
    <row r="276" spans="4:23">
      <c r="I276" s="216" t="s">
        <v>5345</v>
      </c>
      <c r="J276" s="244">
        <f>L276-L275-15300000</f>
        <v>32802006</v>
      </c>
      <c r="K276" s="216" t="s">
        <v>5343</v>
      </c>
      <c r="L276" s="245">
        <v>1319310062</v>
      </c>
      <c r="M276" s="245">
        <v>846171439</v>
      </c>
      <c r="N276" s="244">
        <f t="shared" si="35"/>
        <v>2165481501</v>
      </c>
      <c r="O276" s="244">
        <f>M276-M275-200000</f>
        <v>20810185</v>
      </c>
      <c r="P276" s="244">
        <f>N276-N275-15500000</f>
        <v>53612191</v>
      </c>
      <c r="Q276" s="229">
        <v>15500000</v>
      </c>
    </row>
    <row r="277" spans="4:23">
      <c r="I277" s="216" t="s">
        <v>5348</v>
      </c>
      <c r="J277" s="244">
        <f>L277-L276-3000000</f>
        <v>12429762</v>
      </c>
      <c r="K277" s="216" t="s">
        <v>5347</v>
      </c>
      <c r="L277" s="245">
        <v>1334739824</v>
      </c>
      <c r="M277" s="245">
        <v>848815156</v>
      </c>
      <c r="N277" s="220">
        <f t="shared" si="35"/>
        <v>2183554980</v>
      </c>
      <c r="O277" s="244">
        <f>M277-M276-50000</f>
        <v>2593717</v>
      </c>
      <c r="P277" s="244">
        <f>N277-N276-3050000</f>
        <v>15023479</v>
      </c>
      <c r="Q277" s="229">
        <v>3050000</v>
      </c>
    </row>
    <row r="278" spans="4:23">
      <c r="I278" s="216" t="s">
        <v>5352</v>
      </c>
      <c r="J278" s="244">
        <f>L278-L277-1680000</f>
        <v>-15903030</v>
      </c>
      <c r="K278" s="216" t="s">
        <v>5350</v>
      </c>
      <c r="L278" s="245">
        <v>1320516794</v>
      </c>
      <c r="M278" s="245">
        <v>834312363</v>
      </c>
      <c r="N278" s="244">
        <f t="shared" si="35"/>
        <v>2154829157</v>
      </c>
      <c r="O278" s="244">
        <f>M278-M277-100000</f>
        <v>-14602793</v>
      </c>
      <c r="P278" s="244">
        <f>N278-N277-1600000</f>
        <v>-30325823</v>
      </c>
      <c r="Q278" s="229">
        <v>1780000</v>
      </c>
      <c r="S278" t="s">
        <v>25</v>
      </c>
    </row>
    <row r="279" spans="4:23">
      <c r="I279" s="216" t="s">
        <v>5354</v>
      </c>
      <c r="J279" s="244">
        <f>L279-L278-30000000</f>
        <v>3387493</v>
      </c>
      <c r="K279" s="216" t="s">
        <v>5353</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5360</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5361</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5364</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5367</v>
      </c>
      <c r="L284" s="84">
        <v>1473439379</v>
      </c>
      <c r="M284" s="84">
        <v>906774030</v>
      </c>
      <c r="N284" s="220">
        <f t="shared" si="38"/>
        <v>2380213409</v>
      </c>
      <c r="O284" s="113">
        <f t="shared" si="39"/>
        <v>14380845</v>
      </c>
      <c r="P284" s="113">
        <f t="shared" si="40"/>
        <v>32061881</v>
      </c>
      <c r="Q284" s="229">
        <v>0</v>
      </c>
    </row>
    <row r="285" spans="4:23">
      <c r="I285" s="189" t="s">
        <v>5370</v>
      </c>
      <c r="J285" s="188">
        <f t="shared" si="37"/>
        <v>4331396</v>
      </c>
      <c r="K285" s="189" t="s">
        <v>5368</v>
      </c>
      <c r="L285" s="237">
        <v>1477770775</v>
      </c>
      <c r="M285" s="237">
        <v>915475851</v>
      </c>
      <c r="N285" s="220">
        <f t="shared" si="38"/>
        <v>2393246626</v>
      </c>
      <c r="O285" s="188">
        <f>M285-M284+550000</f>
        <v>9251821</v>
      </c>
      <c r="P285" s="188">
        <f>N285-N284+550000</f>
        <v>13583217</v>
      </c>
      <c r="Q285" s="229">
        <v>-550000</v>
      </c>
    </row>
    <row r="286" spans="4:23">
      <c r="I286" s="189" t="s">
        <v>5374</v>
      </c>
      <c r="J286" s="188">
        <f t="shared" si="37"/>
        <v>39081054</v>
      </c>
      <c r="K286" s="189" t="s">
        <v>5372</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5373</v>
      </c>
      <c r="L287" s="84">
        <v>1560436105</v>
      </c>
      <c r="M287" s="84">
        <v>940791901</v>
      </c>
      <c r="N287" s="220">
        <f t="shared" si="38"/>
        <v>2501228006</v>
      </c>
      <c r="O287" s="113">
        <f t="shared" si="39"/>
        <v>35665189</v>
      </c>
      <c r="P287" s="113">
        <f t="shared" si="40"/>
        <v>79249465</v>
      </c>
      <c r="Q287" s="229">
        <v>0</v>
      </c>
    </row>
    <row r="288" spans="4:23">
      <c r="I288" s="189" t="s">
        <v>5384</v>
      </c>
      <c r="J288" s="188">
        <f t="shared" si="37"/>
        <v>83455296</v>
      </c>
      <c r="K288" s="189" t="s">
        <v>5383</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5386</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5391</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5397</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5406</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5429</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5428</v>
      </c>
      <c r="L294" s="84">
        <v>1775456973</v>
      </c>
      <c r="M294" s="84">
        <v>1056375788</v>
      </c>
      <c r="N294" s="220">
        <f t="shared" si="38"/>
        <v>2831832761</v>
      </c>
      <c r="O294" s="113">
        <f t="shared" si="39"/>
        <v>11375788</v>
      </c>
      <c r="P294" s="113">
        <f t="shared" si="40"/>
        <v>26832761</v>
      </c>
      <c r="Q294" s="229">
        <v>0</v>
      </c>
    </row>
    <row r="295" spans="9:21">
      <c r="I295" s="213" t="s">
        <v>5438</v>
      </c>
      <c r="J295" s="113">
        <f>L295-L294-3000000</f>
        <v>19422686</v>
      </c>
      <c r="K295" s="213" t="s">
        <v>5432</v>
      </c>
      <c r="L295" s="84">
        <v>1797879659</v>
      </c>
      <c r="M295" s="84">
        <v>1054864328</v>
      </c>
      <c r="N295" s="220">
        <f t="shared" si="38"/>
        <v>2852743987</v>
      </c>
      <c r="O295" s="113">
        <f t="shared" si="39"/>
        <v>-1511460</v>
      </c>
      <c r="P295" s="113">
        <f>N295-N294-3000000</f>
        <v>17911226</v>
      </c>
      <c r="Q295" s="229">
        <v>3000000</v>
      </c>
    </row>
    <row r="296" spans="9:21">
      <c r="I296" s="216" t="s">
        <v>5439</v>
      </c>
      <c r="J296" s="244">
        <f>L296-L295-7000000</f>
        <v>-47124934</v>
      </c>
      <c r="K296" s="216" t="s">
        <v>5433</v>
      </c>
      <c r="L296" s="245">
        <v>1757754725</v>
      </c>
      <c r="M296" s="245">
        <v>1037677810</v>
      </c>
      <c r="N296" s="244">
        <f t="shared" si="38"/>
        <v>2795432535</v>
      </c>
      <c r="O296" s="244">
        <f>M296-M295+4190000</f>
        <v>-12996518</v>
      </c>
      <c r="P296" s="244">
        <f>N296-N295+4190000-7000000</f>
        <v>-60121452</v>
      </c>
      <c r="Q296" s="229">
        <v>2810000</v>
      </c>
    </row>
    <row r="297" spans="9:21">
      <c r="I297" s="216" t="s">
        <v>5448</v>
      </c>
      <c r="J297" s="244">
        <f t="shared" si="37"/>
        <v>-53501669</v>
      </c>
      <c r="K297" s="216" t="s">
        <v>5441</v>
      </c>
      <c r="L297" s="245">
        <v>1704253056</v>
      </c>
      <c r="M297" s="245">
        <v>973497834</v>
      </c>
      <c r="N297" s="244">
        <f t="shared" si="38"/>
        <v>2677750890</v>
      </c>
      <c r="O297" s="244">
        <f>M297-M296+26000000</f>
        <v>-38179976</v>
      </c>
      <c r="P297" s="244">
        <f>N297-N296+26000000</f>
        <v>-91681645</v>
      </c>
      <c r="Q297" s="229">
        <v>-26000000</v>
      </c>
    </row>
    <row r="298" spans="9:21">
      <c r="I298" s="216" t="s">
        <v>5450</v>
      </c>
      <c r="J298" s="244">
        <f>L298-L297-8800000</f>
        <v>26691445</v>
      </c>
      <c r="K298" s="216" t="s">
        <v>5446</v>
      </c>
      <c r="L298" s="245">
        <v>1739744501</v>
      </c>
      <c r="M298" s="245">
        <v>914540569</v>
      </c>
      <c r="N298" s="244">
        <f t="shared" si="38"/>
        <v>2654285070</v>
      </c>
      <c r="O298" s="244">
        <f>M298-M297+81800000</f>
        <v>22842735</v>
      </c>
      <c r="P298" s="244">
        <f>N298-N297+73000000</f>
        <v>49534180</v>
      </c>
      <c r="Q298" s="229">
        <v>-73000000</v>
      </c>
    </row>
    <row r="299" spans="9:21">
      <c r="I299" s="216" t="s">
        <v>5455</v>
      </c>
      <c r="J299" s="244">
        <f t="shared" si="37"/>
        <v>32696702</v>
      </c>
      <c r="K299" s="216" t="s">
        <v>5447</v>
      </c>
      <c r="L299" s="245">
        <v>1772441203</v>
      </c>
      <c r="M299" s="245">
        <v>900025831</v>
      </c>
      <c r="N299" s="244">
        <f t="shared" si="38"/>
        <v>2672467034</v>
      </c>
      <c r="O299" s="244">
        <f>M299-M298+34000000</f>
        <v>19485262</v>
      </c>
      <c r="P299" s="244">
        <f>N299-N298+34000000</f>
        <v>52181964</v>
      </c>
      <c r="Q299" s="229">
        <v>-34000000</v>
      </c>
    </row>
    <row r="300" spans="9:21">
      <c r="I300" s="189" t="s">
        <v>5458</v>
      </c>
      <c r="J300" s="188">
        <f>L300-L299-40000000</f>
        <v>74215198</v>
      </c>
      <c r="K300" s="189" t="s">
        <v>5453</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5243</v>
      </c>
      <c r="J301" s="188">
        <f t="shared" si="37"/>
        <v>39912599</v>
      </c>
      <c r="K301" s="189" t="s">
        <v>5454</v>
      </c>
      <c r="L301" s="237">
        <v>1926569000</v>
      </c>
      <c r="M301" s="237">
        <v>959442000</v>
      </c>
      <c r="N301" s="220">
        <f t="shared" si="38"/>
        <v>2886011000</v>
      </c>
      <c r="O301" s="188">
        <f>M301-M300-300000</f>
        <v>21646377</v>
      </c>
      <c r="P301" s="188">
        <f>N301-N300-300000</f>
        <v>61558976</v>
      </c>
      <c r="Q301" s="229">
        <v>300000</v>
      </c>
    </row>
    <row r="302" spans="9:21">
      <c r="I302" s="189" t="s">
        <v>5464</v>
      </c>
      <c r="J302" s="188">
        <f t="shared" si="37"/>
        <v>-55865388</v>
      </c>
      <c r="K302" s="189" t="s">
        <v>5463</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5466</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5468</v>
      </c>
      <c r="L304" s="84">
        <v>1773000000</v>
      </c>
      <c r="M304" s="84">
        <v>879000000</v>
      </c>
      <c r="N304" s="113">
        <f t="shared" si="38"/>
        <v>2652000000</v>
      </c>
      <c r="O304" s="113">
        <f t="shared" si="39"/>
        <v>217170</v>
      </c>
      <c r="P304" s="113">
        <f t="shared" si="40"/>
        <v>-212651</v>
      </c>
      <c r="Q304" s="229">
        <v>0</v>
      </c>
    </row>
    <row r="305" spans="9:17">
      <c r="I305" s="213" t="s">
        <v>5470</v>
      </c>
      <c r="J305" s="113">
        <f>L305-L304-400000</f>
        <v>-400000</v>
      </c>
      <c r="K305" s="213" t="s">
        <v>5469</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5479</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5492</v>
      </c>
      <c r="L307" s="84">
        <v>1627606378</v>
      </c>
      <c r="M307" s="84">
        <v>802901457</v>
      </c>
      <c r="N307" s="113">
        <f t="shared" si="38"/>
        <v>2430507835</v>
      </c>
      <c r="O307" s="113">
        <f t="shared" si="39"/>
        <v>21798585</v>
      </c>
      <c r="P307" s="113">
        <f t="shared" si="40"/>
        <v>63329771</v>
      </c>
      <c r="Q307" s="229">
        <v>0</v>
      </c>
    </row>
    <row r="308" spans="9:17">
      <c r="I308" s="213" t="s">
        <v>5495</v>
      </c>
      <c r="J308" s="113">
        <f>L308-L307+968000</f>
        <v>30858637</v>
      </c>
      <c r="K308" s="213" t="s">
        <v>5494</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5497</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5500</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5502</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5503</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5505</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5508</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5510</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5512</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5514</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5515</v>
      </c>
      <c r="L318" s="84">
        <v>2260584534</v>
      </c>
      <c r="M318" s="84">
        <v>1120314374</v>
      </c>
      <c r="N318" s="220">
        <f t="shared" si="41"/>
        <v>3380898908</v>
      </c>
      <c r="O318" s="113">
        <f t="shared" si="42"/>
        <v>67266920</v>
      </c>
      <c r="P318" s="113">
        <f t="shared" si="43"/>
        <v>208542979</v>
      </c>
      <c r="Q318" s="229">
        <v>0</v>
      </c>
    </row>
    <row r="319" spans="9:17">
      <c r="I319" s="213" t="s">
        <v>5519</v>
      </c>
      <c r="J319" s="113">
        <f>L319-L318-3006000</f>
        <v>32865631</v>
      </c>
      <c r="K319" s="213" t="s">
        <v>5518</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5526</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5530</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5532</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5533</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5534</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5542</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5544</v>
      </c>
      <c r="L326" s="84">
        <v>2819979138</v>
      </c>
      <c r="M326" s="84">
        <v>1401539279</v>
      </c>
      <c r="N326" s="220">
        <f t="shared" si="41"/>
        <v>4221518417</v>
      </c>
      <c r="O326" s="113">
        <f t="shared" si="42"/>
        <v>13084171</v>
      </c>
      <c r="P326" s="113">
        <f t="shared" si="43"/>
        <v>39080100</v>
      </c>
      <c r="Q326" s="229">
        <v>0</v>
      </c>
    </row>
    <row r="327" spans="9:22">
      <c r="I327" s="213" t="s">
        <v>5547</v>
      </c>
      <c r="J327" s="113">
        <f>L327-L326+130382924</f>
        <v>36685298</v>
      </c>
      <c r="K327" s="213" t="s">
        <v>5546</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5545</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5556</v>
      </c>
      <c r="J332" s="188">
        <f>L332-L331-125000000</f>
        <v>154015802</v>
      </c>
      <c r="K332" s="189" t="s">
        <v>5394</v>
      </c>
      <c r="L332" s="237">
        <v>3877711355</v>
      </c>
      <c r="M332" s="237">
        <v>1868422520</v>
      </c>
      <c r="N332" s="220">
        <f t="shared" si="44"/>
        <v>5746133875</v>
      </c>
      <c r="O332" s="188">
        <f t="shared" si="45"/>
        <v>77900986</v>
      </c>
      <c r="P332" s="188">
        <f>N332-N331-125000000</f>
        <v>231916788</v>
      </c>
      <c r="Q332" s="229">
        <v>125000000</v>
      </c>
    </row>
    <row r="333" spans="9:22">
      <c r="I333" s="189" t="s">
        <v>5557</v>
      </c>
      <c r="J333" s="188">
        <f>L333-L332-7200000</f>
        <v>-108573535</v>
      </c>
      <c r="K333" s="189" t="s">
        <v>5551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5574</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5576</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5578</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5579</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5580</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5584</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5585</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5587</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5618</v>
      </c>
      <c r="L346" s="84">
        <v>3220000000</v>
      </c>
      <c r="M346" s="84">
        <v>1580000000</v>
      </c>
      <c r="N346" s="113">
        <f t="shared" si="44"/>
        <v>4800000000</v>
      </c>
      <c r="O346" s="113">
        <f t="shared" si="45"/>
        <v>16994429</v>
      </c>
      <c r="P346" s="113">
        <f t="shared" si="46"/>
        <v>32497144</v>
      </c>
      <c r="Q346" s="229">
        <v>0</v>
      </c>
    </row>
    <row r="347" spans="9:19">
      <c r="I347" s="189" t="s">
        <v>5635</v>
      </c>
      <c r="J347" s="188">
        <f>L347-L346-50000000</f>
        <v>30000000</v>
      </c>
      <c r="K347" s="189" t="s">
        <v>5619</v>
      </c>
      <c r="L347" s="237">
        <v>3300000000</v>
      </c>
      <c r="M347" s="237">
        <v>1600000000</v>
      </c>
      <c r="N347" s="188">
        <f t="shared" si="44"/>
        <v>4900000000</v>
      </c>
      <c r="O347" s="188">
        <f t="shared" si="45"/>
        <v>20000000</v>
      </c>
      <c r="P347" s="188">
        <f>N347-N346-50000000</f>
        <v>50000000</v>
      </c>
      <c r="Q347" s="229">
        <v>50000000</v>
      </c>
    </row>
    <row r="348" spans="9:19">
      <c r="I348" s="189" t="s">
        <v>5647</v>
      </c>
      <c r="J348" s="188">
        <f t="shared" si="37"/>
        <v>79324490</v>
      </c>
      <c r="K348" s="189" t="s">
        <v>5620</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5654</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5657</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5661</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5665</v>
      </c>
      <c r="L352" s="84">
        <v>3964029618</v>
      </c>
      <c r="M352" s="84">
        <v>1918994990</v>
      </c>
      <c r="N352" s="292">
        <f t="shared" si="44"/>
        <v>5883024608</v>
      </c>
      <c r="O352" s="113">
        <f t="shared" si="45"/>
        <v>85923046</v>
      </c>
      <c r="P352" s="113">
        <f t="shared" si="46"/>
        <v>259308351</v>
      </c>
      <c r="Q352" s="229">
        <v>0</v>
      </c>
    </row>
    <row r="353" spans="9:17">
      <c r="I353" s="213"/>
      <c r="J353" s="113">
        <f t="shared" si="37"/>
        <v>197999356</v>
      </c>
      <c r="K353" s="213" t="s">
        <v>5666</v>
      </c>
      <c r="L353" s="84">
        <v>4162028974</v>
      </c>
      <c r="M353" s="84">
        <v>2014922470</v>
      </c>
      <c r="N353" s="292">
        <f t="shared" si="44"/>
        <v>6176951444</v>
      </c>
      <c r="O353" s="113">
        <f t="shared" si="45"/>
        <v>95927480</v>
      </c>
      <c r="P353" s="113">
        <f t="shared" si="46"/>
        <v>293926836</v>
      </c>
      <c r="Q353" s="229">
        <v>0</v>
      </c>
    </row>
    <row r="354" spans="9:17">
      <c r="I354" s="213"/>
      <c r="J354" s="113">
        <f t="shared" si="37"/>
        <v>75948917</v>
      </c>
      <c r="K354" s="213" t="s">
        <v>5668</v>
      </c>
      <c r="L354" s="84">
        <v>4237977891</v>
      </c>
      <c r="M354" s="84">
        <v>2058362540</v>
      </c>
      <c r="N354" s="35">
        <f t="shared" si="44"/>
        <v>6296340431</v>
      </c>
      <c r="O354" s="113">
        <f t="shared" si="45"/>
        <v>43440070</v>
      </c>
      <c r="P354" s="113">
        <f t="shared" si="46"/>
        <v>119388987</v>
      </c>
      <c r="Q354" s="229">
        <v>0</v>
      </c>
    </row>
    <row r="355" spans="9:17">
      <c r="I355" s="213"/>
      <c r="J355" s="113">
        <f t="shared" si="37"/>
        <v>-4237977891</v>
      </c>
      <c r="K355" s="213"/>
      <c r="L355" s="84"/>
      <c r="M355" s="84"/>
      <c r="N355" s="113">
        <f t="shared" si="44"/>
        <v>0</v>
      </c>
      <c r="O355" s="113">
        <f t="shared" si="45"/>
        <v>-2058362540</v>
      </c>
      <c r="P355" s="113">
        <f t="shared" si="46"/>
        <v>-6296340431</v>
      </c>
    </row>
    <row r="356" spans="9:17">
      <c r="I356" s="213"/>
      <c r="J356" s="113">
        <f t="shared" si="37"/>
        <v>0</v>
      </c>
      <c r="K356" s="213"/>
      <c r="L356" s="84"/>
      <c r="M356" s="84"/>
      <c r="N356" s="113">
        <f t="shared" si="44"/>
        <v>0</v>
      </c>
      <c r="O356" s="113">
        <f t="shared" si="45"/>
        <v>0</v>
      </c>
      <c r="P356" s="113">
        <f t="shared" si="46"/>
        <v>0</v>
      </c>
    </row>
    <row r="357" spans="9:17">
      <c r="I357" s="213"/>
      <c r="J357" s="113">
        <f t="shared" si="37"/>
        <v>0</v>
      </c>
      <c r="K357" s="213"/>
      <c r="L357" s="84"/>
      <c r="M357" s="84"/>
      <c r="N357" s="113">
        <f t="shared" si="44"/>
        <v>0</v>
      </c>
      <c r="O357" s="113">
        <f t="shared" si="45"/>
        <v>0</v>
      </c>
      <c r="P357" s="113">
        <f t="shared" si="46"/>
        <v>0</v>
      </c>
    </row>
    <row r="358" spans="9:17">
      <c r="I358" s="213"/>
      <c r="J358" s="113">
        <f t="shared" si="37"/>
        <v>0</v>
      </c>
      <c r="K358" s="213"/>
      <c r="L358" s="84"/>
      <c r="M358" s="84"/>
      <c r="N358" s="113">
        <f t="shared" si="44"/>
        <v>0</v>
      </c>
      <c r="O358" s="113">
        <f t="shared" si="45"/>
        <v>0</v>
      </c>
      <c r="P358" s="113">
        <f t="shared" si="46"/>
        <v>0</v>
      </c>
    </row>
    <row r="359" spans="9:17">
      <c r="I359" s="213"/>
      <c r="J359" s="113">
        <f t="shared" si="37"/>
        <v>0</v>
      </c>
      <c r="K359" s="213"/>
      <c r="L359" s="84"/>
      <c r="M359" s="84"/>
      <c r="N359" s="113">
        <f t="shared" si="44"/>
        <v>0</v>
      </c>
      <c r="O359" s="113">
        <f t="shared" si="45"/>
        <v>0</v>
      </c>
      <c r="P359" s="113">
        <f t="shared" si="46"/>
        <v>0</v>
      </c>
    </row>
    <row r="360" spans="9:17">
      <c r="I360" s="213"/>
      <c r="J360" s="113">
        <f t="shared" si="37"/>
        <v>0</v>
      </c>
      <c r="K360" s="213"/>
      <c r="L360" s="84"/>
      <c r="M360" s="84"/>
      <c r="N360" s="113">
        <f t="shared" si="44"/>
        <v>0</v>
      </c>
      <c r="O360" s="113">
        <f t="shared" si="45"/>
        <v>0</v>
      </c>
      <c r="P360" s="113">
        <f t="shared" si="46"/>
        <v>0</v>
      </c>
    </row>
    <row r="361" spans="9:17">
      <c r="I361" s="213"/>
      <c r="J361" s="113">
        <f t="shared" si="37"/>
        <v>0</v>
      </c>
      <c r="K361" s="213"/>
      <c r="L361" s="84"/>
      <c r="M361" s="84"/>
      <c r="N361" s="113">
        <f t="shared" si="44"/>
        <v>0</v>
      </c>
      <c r="O361" s="113">
        <f t="shared" si="45"/>
        <v>0</v>
      </c>
      <c r="P361" s="113">
        <f t="shared" si="46"/>
        <v>0</v>
      </c>
    </row>
    <row r="362" spans="9:17">
      <c r="I362" s="213"/>
      <c r="J362" s="113">
        <f t="shared" si="37"/>
        <v>0</v>
      </c>
      <c r="K362" s="213"/>
      <c r="L362" s="84"/>
      <c r="M362" s="84"/>
      <c r="N362" s="113">
        <f t="shared" si="44"/>
        <v>0</v>
      </c>
      <c r="O362" s="113">
        <f t="shared" si="45"/>
        <v>0</v>
      </c>
      <c r="P362" s="113">
        <f t="shared" si="46"/>
        <v>0</v>
      </c>
    </row>
    <row r="363" spans="9:17">
      <c r="I363" s="213"/>
      <c r="J363" s="113">
        <f t="shared" si="37"/>
        <v>0</v>
      </c>
      <c r="K363" s="213"/>
      <c r="L363" s="84"/>
      <c r="M363" s="84"/>
      <c r="N363" s="113">
        <f t="shared" si="44"/>
        <v>0</v>
      </c>
      <c r="O363" s="113">
        <f t="shared" si="45"/>
        <v>0</v>
      </c>
      <c r="P363" s="113">
        <f t="shared" si="46"/>
        <v>0</v>
      </c>
    </row>
    <row r="364" spans="9:17">
      <c r="I364" s="213"/>
      <c r="J364" s="113">
        <f t="shared" si="37"/>
        <v>0</v>
      </c>
      <c r="K364" s="213"/>
      <c r="L364" s="84"/>
      <c r="M364" s="84"/>
      <c r="N364" s="113">
        <f t="shared" si="44"/>
        <v>0</v>
      </c>
      <c r="O364" s="113">
        <f t="shared" si="45"/>
        <v>0</v>
      </c>
      <c r="P364" s="113">
        <f t="shared" si="46"/>
        <v>0</v>
      </c>
    </row>
    <row r="365" spans="9:17">
      <c r="I365" s="213"/>
      <c r="J365" s="113">
        <f t="shared" si="37"/>
        <v>0</v>
      </c>
      <c r="K365" s="213"/>
      <c r="L365" s="84"/>
      <c r="M365" s="84"/>
      <c r="N365" s="113">
        <f t="shared" si="44"/>
        <v>0</v>
      </c>
      <c r="O365" s="113">
        <f t="shared" si="45"/>
        <v>0</v>
      </c>
      <c r="P365" s="113">
        <f t="shared" si="46"/>
        <v>0</v>
      </c>
    </row>
    <row r="366" spans="9:17">
      <c r="I366" s="213"/>
      <c r="J366" s="113">
        <f t="shared" si="37"/>
        <v>0</v>
      </c>
      <c r="K366" s="213"/>
      <c r="L366" s="84"/>
      <c r="M366" s="84"/>
      <c r="N366" s="113">
        <f t="shared" si="44"/>
        <v>0</v>
      </c>
      <c r="O366" s="113">
        <f t="shared" si="45"/>
        <v>0</v>
      </c>
      <c r="P366" s="113">
        <f t="shared" si="46"/>
        <v>0</v>
      </c>
    </row>
    <row r="367" spans="9:17">
      <c r="I367" s="213"/>
      <c r="J367" s="113">
        <f t="shared" si="37"/>
        <v>0</v>
      </c>
      <c r="K367" s="213">
        <v>0</v>
      </c>
      <c r="L367" s="84">
        <v>0</v>
      </c>
      <c r="M367" s="84">
        <v>0</v>
      </c>
      <c r="N367" s="113">
        <f t="shared" si="44"/>
        <v>0</v>
      </c>
      <c r="O367" s="113">
        <f t="shared" si="45"/>
        <v>0</v>
      </c>
      <c r="P367" s="113">
        <f t="shared" si="46"/>
        <v>0</v>
      </c>
    </row>
    <row r="368" spans="9:17">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5403</v>
      </c>
      <c r="B1">
        <v>0.24</v>
      </c>
    </row>
    <row r="4" spans="1:21">
      <c r="A4" s="99" t="s">
        <v>3637</v>
      </c>
      <c r="B4" s="99" t="s">
        <v>180</v>
      </c>
      <c r="C4" s="99" t="s">
        <v>5407</v>
      </c>
      <c r="D4" s="99" t="s">
        <v>5408</v>
      </c>
      <c r="E4" s="99" t="s">
        <v>5415</v>
      </c>
      <c r="F4" s="99" t="s">
        <v>5409</v>
      </c>
      <c r="G4" s="99" t="s">
        <v>5410</v>
      </c>
      <c r="H4" s="99" t="s">
        <v>5411</v>
      </c>
      <c r="I4" s="99" t="s">
        <v>5412</v>
      </c>
      <c r="J4" s="99" t="s">
        <v>5413</v>
      </c>
      <c r="K4" s="99" t="s">
        <v>5414</v>
      </c>
      <c r="L4" s="99" t="s">
        <v>5402</v>
      </c>
      <c r="M4" s="99" t="s">
        <v>5404</v>
      </c>
      <c r="N4" s="99" t="s">
        <v>5405</v>
      </c>
      <c r="O4" s="99"/>
    </row>
    <row r="5" spans="1:21">
      <c r="A5" s="99">
        <v>0</v>
      </c>
      <c r="B5" s="99" t="s">
        <v>5401</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5406</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5429</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5428</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5432</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5416</v>
      </c>
      <c r="C52" s="283" t="s">
        <v>5417</v>
      </c>
      <c r="D52" s="283" t="s">
        <v>5418</v>
      </c>
      <c r="E52" s="283" t="s">
        <v>4262</v>
      </c>
      <c r="F52" s="283" t="s">
        <v>5419</v>
      </c>
      <c r="G52" s="283" t="s">
        <v>5420</v>
      </c>
      <c r="H52" s="283" t="s">
        <v>5421</v>
      </c>
      <c r="I52" s="283" t="s">
        <v>5422</v>
      </c>
      <c r="J52" s="283" t="s">
        <v>5423</v>
      </c>
      <c r="K52" s="283" t="s">
        <v>5424</v>
      </c>
      <c r="L52" s="283" t="s">
        <v>5425</v>
      </c>
      <c r="M52" s="283" t="s">
        <v>5426</v>
      </c>
      <c r="N52" s="283" t="s">
        <v>5427</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5387</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5381</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5371</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5362</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5398</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5416</v>
      </c>
      <c r="C64" s="283" t="s">
        <v>5417</v>
      </c>
      <c r="D64" s="283" t="s">
        <v>5418</v>
      </c>
      <c r="E64" s="283" t="s">
        <v>4262</v>
      </c>
      <c r="F64" s="283" t="s">
        <v>5419</v>
      </c>
      <c r="G64" s="283" t="s">
        <v>5420</v>
      </c>
      <c r="H64" s="283" t="s">
        <v>5421</v>
      </c>
      <c r="I64" s="283" t="s">
        <v>5422</v>
      </c>
      <c r="J64" s="283" t="s">
        <v>5423</v>
      </c>
      <c r="K64" s="283" t="s">
        <v>5424</v>
      </c>
      <c r="L64" s="283" t="s">
        <v>5425</v>
      </c>
      <c r="M64" s="283" t="s">
        <v>5426</v>
      </c>
      <c r="N64" s="283" t="s">
        <v>5427</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5387</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5371</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5362</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5398</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5620</v>
      </c>
      <c r="I31" s="11">
        <v>267000</v>
      </c>
      <c r="J31" s="11" t="s">
        <v>477</v>
      </c>
    </row>
    <row r="32" spans="2:21">
      <c r="G32" s="11">
        <f>$I$48-I32</f>
        <v>82000</v>
      </c>
      <c r="H32" s="59" t="s">
        <v>792</v>
      </c>
      <c r="I32" s="11">
        <v>185000</v>
      </c>
      <c r="J32" s="11" t="s">
        <v>558</v>
      </c>
    </row>
    <row r="33" spans="6:23">
      <c r="G33" s="11">
        <f t="shared" si="5"/>
        <v>0</v>
      </c>
      <c r="H33" s="11" t="s">
        <v>5620</v>
      </c>
      <c r="I33" s="11">
        <v>267000</v>
      </c>
      <c r="J33" s="11" t="s">
        <v>566</v>
      </c>
    </row>
    <row r="34" spans="6:23">
      <c r="G34" s="11">
        <f t="shared" si="5"/>
        <v>0</v>
      </c>
      <c r="H34" s="11" t="s">
        <v>5620</v>
      </c>
      <c r="I34" s="11">
        <v>267000</v>
      </c>
      <c r="J34" s="11" t="s">
        <v>567</v>
      </c>
    </row>
    <row r="35" spans="6:23">
      <c r="G35" s="11">
        <f t="shared" si="5"/>
        <v>0</v>
      </c>
      <c r="H35" s="11" t="s">
        <v>5620</v>
      </c>
      <c r="I35" s="11">
        <v>267000</v>
      </c>
      <c r="J35" s="11" t="s">
        <v>568</v>
      </c>
    </row>
    <row r="36" spans="6:23">
      <c r="F36" t="s">
        <v>25</v>
      </c>
      <c r="G36" s="11">
        <f t="shared" si="5"/>
        <v>3000</v>
      </c>
      <c r="H36" s="11" t="s">
        <v>5441</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8" t="s">
        <v>1085</v>
      </c>
      <c r="R21" s="328"/>
      <c r="S21" s="328"/>
      <c r="T21" s="328"/>
      <c r="U21" s="96"/>
      <c r="V21" s="96"/>
      <c r="W21" s="41" t="s">
        <v>5022</v>
      </c>
      <c r="X21" s="41">
        <v>9035210431</v>
      </c>
      <c r="Y21" s="41">
        <v>50</v>
      </c>
      <c r="Z21" s="41" t="s">
        <v>5302</v>
      </c>
      <c r="AA21" t="s">
        <v>5040</v>
      </c>
    </row>
    <row r="22" spans="5:35">
      <c r="O22" s="99"/>
      <c r="P22" s="99"/>
      <c r="Q22" s="328"/>
      <c r="R22" s="328"/>
      <c r="S22" s="328"/>
      <c r="T22" s="328"/>
      <c r="U22" s="96"/>
      <c r="V22" s="96"/>
      <c r="W22" s="41" t="s">
        <v>5113</v>
      </c>
      <c r="X22" s="41">
        <v>9909620343</v>
      </c>
      <c r="Y22" s="41">
        <v>200</v>
      </c>
      <c r="Z22" s="41" t="s">
        <v>5303</v>
      </c>
      <c r="AA22" t="s">
        <v>5306</v>
      </c>
      <c r="AB22" s="41" t="s">
        <v>5314</v>
      </c>
    </row>
    <row r="23" spans="5:35" ht="15.75">
      <c r="O23" s="178"/>
      <c r="P23" s="99" t="s">
        <v>4082</v>
      </c>
      <c r="Q23" s="329" t="s">
        <v>1086</v>
      </c>
      <c r="R23" s="330" t="s">
        <v>1087</v>
      </c>
      <c r="S23" s="329" t="s">
        <v>1088</v>
      </c>
      <c r="T23" s="331" t="s">
        <v>1089</v>
      </c>
      <c r="W23" s="41" t="s">
        <v>5114</v>
      </c>
      <c r="X23" s="41">
        <v>9378807702</v>
      </c>
      <c r="Y23" s="41">
        <v>0</v>
      </c>
      <c r="Z23" s="41">
        <v>0</v>
      </c>
      <c r="AD23" t="s">
        <v>25</v>
      </c>
    </row>
    <row r="24" spans="5:35">
      <c r="O24" s="99"/>
      <c r="P24" s="99"/>
      <c r="Q24" s="329"/>
      <c r="R24" s="330"/>
      <c r="S24" s="329"/>
      <c r="T24" s="331"/>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5302</v>
      </c>
      <c r="AA25" t="s">
        <v>5226</v>
      </c>
    </row>
    <row r="26" spans="5:35">
      <c r="O26" s="173"/>
      <c r="P26" s="173">
        <v>2123095122</v>
      </c>
      <c r="Q26" s="175" t="s">
        <v>1092</v>
      </c>
      <c r="R26" s="175" t="s">
        <v>1093</v>
      </c>
      <c r="S26" s="175" t="s">
        <v>1094</v>
      </c>
      <c r="T26" s="175" t="s">
        <v>1095</v>
      </c>
      <c r="U26" s="96"/>
      <c r="V26" s="96"/>
      <c r="W26" s="41" t="s">
        <v>5304</v>
      </c>
      <c r="X26" s="41">
        <v>9214923916</v>
      </c>
      <c r="Y26" s="41">
        <v>100</v>
      </c>
      <c r="Z26" s="41" t="s">
        <v>4521</v>
      </c>
      <c r="AA26" s="207" t="s">
        <v>5298</v>
      </c>
      <c r="AB26" s="96"/>
    </row>
    <row r="27" spans="5:35" ht="30">
      <c r="O27" s="173" t="s">
        <v>4193</v>
      </c>
      <c r="P27" s="173">
        <v>2188831909</v>
      </c>
      <c r="Q27" s="99" t="s">
        <v>4085</v>
      </c>
      <c r="R27" s="99" t="s">
        <v>4086</v>
      </c>
      <c r="S27" s="99" t="s">
        <v>4087</v>
      </c>
      <c r="T27" s="176" t="s">
        <v>4089</v>
      </c>
      <c r="U27" s="96"/>
      <c r="V27" s="96"/>
      <c r="W27" s="41" t="s">
        <v>5305</v>
      </c>
      <c r="X27" s="41" t="s">
        <v>5365</v>
      </c>
      <c r="Y27" s="41">
        <v>80</v>
      </c>
      <c r="Z27" s="41" t="s">
        <v>5302</v>
      </c>
      <c r="AA27" s="207" t="s">
        <v>5298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5377</v>
      </c>
      <c r="E1" s="99"/>
      <c r="F1" s="99"/>
      <c r="G1" s="99"/>
      <c r="H1" s="99"/>
      <c r="I1" s="99"/>
    </row>
    <row r="2" spans="1:15">
      <c r="A2" s="99">
        <v>1</v>
      </c>
      <c r="B2" s="99" t="s">
        <v>5274</v>
      </c>
      <c r="C2" s="95">
        <v>28500</v>
      </c>
      <c r="D2" s="99" t="s">
        <v>5380</v>
      </c>
      <c r="E2" s="99"/>
      <c r="F2" s="99"/>
      <c r="G2" s="99"/>
      <c r="H2" s="99"/>
      <c r="I2" s="99"/>
    </row>
    <row r="3" spans="1:15">
      <c r="A3" s="99">
        <v>2</v>
      </c>
      <c r="B3" s="99" t="s">
        <v>5301</v>
      </c>
      <c r="C3" s="95">
        <v>180200</v>
      </c>
      <c r="D3" s="99" t="s">
        <v>5379</v>
      </c>
      <c r="E3" s="99"/>
      <c r="F3" s="99"/>
      <c r="G3" s="99"/>
      <c r="H3" s="99"/>
      <c r="I3" s="99"/>
    </row>
    <row r="4" spans="1:15">
      <c r="A4" s="99">
        <v>3</v>
      </c>
      <c r="B4" s="99" t="s">
        <v>5372</v>
      </c>
      <c r="C4" s="95">
        <v>187000</v>
      </c>
      <c r="D4" s="99" t="s">
        <v>5378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2020-06-08T09:07:20Z</dcterms:modified>
</cp:coreProperties>
</file>