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36" i="18" l="1"/>
  <c r="K102" i="63"/>
  <c r="G95" i="63" l="1"/>
  <c r="H95" i="63"/>
  <c r="I95" i="63"/>
  <c r="G96" i="63"/>
  <c r="H96" i="63"/>
  <c r="I96" i="63"/>
  <c r="G97" i="63"/>
  <c r="H97" i="63"/>
  <c r="I97" i="63"/>
  <c r="G101" i="63"/>
  <c r="H101" i="63"/>
  <c r="I101" i="63"/>
  <c r="F29" i="60" l="1"/>
  <c r="G29" i="60" s="1"/>
  <c r="J40" i="18" l="1"/>
  <c r="P102" i="60"/>
  <c r="G121" i="63"/>
  <c r="H121" i="63"/>
  <c r="I121" i="63"/>
  <c r="G122" i="63"/>
  <c r="H122" i="63"/>
  <c r="I122" i="63"/>
  <c r="G123" i="63"/>
  <c r="H123" i="63"/>
  <c r="I123" i="63"/>
  <c r="G124" i="63"/>
  <c r="H124" i="63"/>
  <c r="I124" i="63"/>
  <c r="G125" i="63"/>
  <c r="H125" i="63"/>
  <c r="I125" i="63"/>
  <c r="F126" i="63"/>
  <c r="C126" i="63"/>
  <c r="G120" i="63"/>
  <c r="H120" i="63"/>
  <c r="I120" i="63"/>
  <c r="G119" i="63"/>
  <c r="I119" i="63"/>
  <c r="H119" i="63"/>
  <c r="W435" i="18"/>
  <c r="K125" i="63" l="1"/>
  <c r="K123" i="63"/>
  <c r="K121" i="63"/>
  <c r="K124" i="63"/>
  <c r="K122" i="63"/>
  <c r="K120" i="63"/>
  <c r="H126" i="63"/>
  <c r="K126" i="63" s="1"/>
  <c r="L126" i="63" s="1"/>
  <c r="I126" i="63"/>
  <c r="G126" i="63"/>
  <c r="J154" i="18"/>
  <c r="F102" i="63"/>
  <c r="C102" i="63"/>
  <c r="W434" i="18" l="1"/>
  <c r="J43" i="18"/>
  <c r="J44" i="18" s="1"/>
  <c r="P41" i="18"/>
  <c r="G105" i="63"/>
  <c r="H105" i="63"/>
  <c r="I105" i="63"/>
  <c r="G106" i="63"/>
  <c r="H106" i="63"/>
  <c r="I106" i="63"/>
  <c r="G107" i="63"/>
  <c r="H107" i="63"/>
  <c r="I107" i="63"/>
  <c r="G108" i="63"/>
  <c r="H108" i="63"/>
  <c r="I108" i="63"/>
  <c r="G109" i="63"/>
  <c r="H109" i="63"/>
  <c r="I109" i="63"/>
  <c r="F110" i="63"/>
  <c r="C110" i="63"/>
  <c r="G88" i="63"/>
  <c r="H88" i="63"/>
  <c r="I88" i="63"/>
  <c r="G89" i="63"/>
  <c r="H89" i="63"/>
  <c r="I89" i="63"/>
  <c r="G90" i="63"/>
  <c r="H90" i="63"/>
  <c r="I90" i="63"/>
  <c r="G91" i="63"/>
  <c r="H91" i="63"/>
  <c r="I91" i="63"/>
  <c r="S95" i="18"/>
  <c r="K109" i="63" l="1"/>
  <c r="K106" i="63"/>
  <c r="K89" i="63"/>
  <c r="K108" i="63"/>
  <c r="K107"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K96" i="63"/>
  <c r="K97" i="63"/>
  <c r="AM447" i="18" l="1"/>
  <c r="AL446" i="18"/>
  <c r="R480" i="18"/>
  <c r="W426" i="18"/>
  <c r="W425" i="18"/>
  <c r="W424" i="18"/>
  <c r="W423" i="18"/>
  <c r="W422" i="18"/>
  <c r="W421" i="18"/>
  <c r="J468" i="52"/>
  <c r="O468" i="52"/>
  <c r="AL445" i="18" l="1"/>
  <c r="AM446" i="18"/>
  <c r="G104" i="63"/>
  <c r="H104" i="63"/>
  <c r="K105" i="63" s="1"/>
  <c r="I104" i="63"/>
  <c r="AM445" i="18" l="1"/>
  <c r="AL444" i="18"/>
  <c r="K101" i="63"/>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2" i="63" l="1"/>
  <c r="H102" i="63"/>
  <c r="L102" i="63" l="1"/>
  <c r="G119" i="18"/>
  <c r="J119" i="18" s="1"/>
  <c r="G118" i="18"/>
  <c r="J118" i="18" s="1"/>
  <c r="I122" i="18" l="1"/>
  <c r="W412" i="18"/>
  <c r="W411" i="18"/>
  <c r="U441" i="18"/>
  <c r="W410" i="18" l="1"/>
  <c r="W409" i="18"/>
  <c r="W408" i="18" l="1"/>
  <c r="G114"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15"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1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4" i="63" l="1"/>
  <c r="I115" i="63" s="1"/>
  <c r="W356" i="18" l="1"/>
  <c r="V460" i="18"/>
  <c r="S229" i="18" l="1"/>
  <c r="G113"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2"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0" i="63" l="1"/>
  <c r="G110" i="63"/>
  <c r="AM421" i="18"/>
  <c r="AL420" i="18"/>
  <c r="H110" i="63"/>
  <c r="K110" i="63" l="1"/>
  <c r="L110" i="63" s="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69" i="18"/>
  <c r="S70" i="18" s="1"/>
  <c r="S71" i="18" s="1"/>
  <c r="R153" i="18"/>
  <c r="R151" i="18"/>
  <c r="D57" i="51"/>
  <c r="AL117" i="18" l="1"/>
  <c r="AM118" i="18"/>
  <c r="S72" i="18"/>
  <c r="S73" i="18" s="1"/>
  <c r="AM117" i="18" l="1"/>
  <c r="AL116" i="18"/>
  <c r="S74" i="18"/>
  <c r="S75" i="18" s="1"/>
  <c r="N28" i="18"/>
  <c r="Q86"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6" i="18" l="1"/>
  <c r="S77" i="18" s="1"/>
  <c r="AL113" i="18"/>
  <c r="AM114" i="18"/>
  <c r="S20" i="18"/>
  <c r="S21" i="18" s="1"/>
  <c r="S78" i="18" l="1"/>
  <c r="AL112" i="18"/>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9" i="18" l="1"/>
  <c r="S80" i="18" s="1"/>
  <c r="AM107" i="18"/>
  <c r="AL106" i="18"/>
  <c r="S81" i="18" l="1"/>
  <c r="S82"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4"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S60" i="18" s="1"/>
  <c r="S61" i="18" s="1"/>
  <c r="AL77" i="18"/>
  <c r="AM78" i="18"/>
  <c r="G307" i="20" l="1"/>
  <c r="K308" i="20"/>
  <c r="J308" i="20"/>
  <c r="I308" i="20"/>
  <c r="AL76" i="18"/>
  <c r="AM77" i="18"/>
  <c r="G306" i="20" l="1"/>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0" i="18"/>
  <c r="V61" i="18" s="1"/>
  <c r="X61" i="18" l="1"/>
  <c r="W61" i="18"/>
  <c r="V60" i="18"/>
  <c r="W60" i="18" s="1"/>
  <c r="V82" i="18"/>
  <c r="X60" i="18"/>
  <c r="V81" i="18"/>
  <c r="W81" i="18" s="1"/>
  <c r="V59" i="18"/>
  <c r="V63" i="18"/>
  <c r="V62" i="18"/>
  <c r="X81" i="18"/>
  <c r="V80" i="18"/>
  <c r="W80" i="18" s="1"/>
  <c r="V47" i="18"/>
  <c r="V48" i="18"/>
  <c r="V51" i="18"/>
  <c r="V52" i="18"/>
  <c r="V55" i="18"/>
  <c r="V57" i="18"/>
  <c r="V58"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78" i="18"/>
  <c r="V85" i="18"/>
  <c r="W135" i="18"/>
  <c r="V94" i="18"/>
  <c r="V77" i="18"/>
  <c r="W77" i="18" s="1"/>
  <c r="V30" i="18"/>
  <c r="V29" i="18"/>
  <c r="V28" i="18"/>
  <c r="W28" i="18" s="1"/>
  <c r="V76" i="18"/>
  <c r="V75" i="18"/>
  <c r="V27" i="18"/>
  <c r="G303" i="20"/>
  <c r="K304" i="20"/>
  <c r="I304" i="20"/>
  <c r="J304" i="20"/>
  <c r="V26" i="18"/>
  <c r="W26" i="18" s="1"/>
  <c r="V74" i="18"/>
  <c r="V25" i="18"/>
  <c r="V24" i="18"/>
  <c r="W24" i="18" s="1"/>
  <c r="V73" i="18"/>
  <c r="V23" i="18"/>
  <c r="X23" i="18" s="1"/>
  <c r="V72" i="18"/>
  <c r="V71" i="18"/>
  <c r="V70" i="18"/>
  <c r="V22" i="18"/>
  <c r="V21" i="18"/>
  <c r="V20" i="18"/>
  <c r="AL72" i="18"/>
  <c r="AM73" i="18"/>
  <c r="X82" i="18" l="1"/>
  <c r="W82" i="18"/>
  <c r="X62" i="18"/>
  <c r="W62" i="18"/>
  <c r="W59" i="18"/>
  <c r="X59" i="18"/>
  <c r="X63" i="18"/>
  <c r="W63" i="18"/>
  <c r="X80" i="18"/>
  <c r="W56" i="18"/>
  <c r="X56" i="18"/>
  <c r="W53" i="18"/>
  <c r="X53" i="18"/>
  <c r="W49" i="18"/>
  <c r="X49" i="18"/>
  <c r="W57" i="18"/>
  <c r="X57" i="18"/>
  <c r="W55" i="18"/>
  <c r="X55" i="18"/>
  <c r="W51" i="18"/>
  <c r="X51" i="18"/>
  <c r="W47" i="18"/>
  <c r="X47" i="18"/>
  <c r="W54" i="18"/>
  <c r="X54" i="18"/>
  <c r="W50" i="18"/>
  <c r="X50" i="18"/>
  <c r="X58" i="18"/>
  <c r="W58"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78" i="18"/>
  <c r="X78" i="18"/>
  <c r="W85" i="18"/>
  <c r="X85" i="18"/>
  <c r="X77" i="18"/>
  <c r="X30" i="18"/>
  <c r="W30" i="18"/>
  <c r="W29" i="18"/>
  <c r="X29" i="18"/>
  <c r="X28" i="18"/>
  <c r="W76" i="18"/>
  <c r="X76" i="18"/>
  <c r="W75" i="18"/>
  <c r="X75" i="18"/>
  <c r="W27" i="18"/>
  <c r="X27" i="18"/>
  <c r="W134" i="18"/>
  <c r="G302" i="20"/>
  <c r="K303" i="20"/>
  <c r="I303" i="20"/>
  <c r="J303" i="20"/>
  <c r="X26" i="18"/>
  <c r="W74" i="18"/>
  <c r="X74" i="18"/>
  <c r="W25" i="18"/>
  <c r="X25" i="18"/>
  <c r="X24" i="18"/>
  <c r="W73" i="18"/>
  <c r="X73" i="18"/>
  <c r="W23" i="18"/>
  <c r="W72" i="18"/>
  <c r="X72" i="18"/>
  <c r="W71" i="18"/>
  <c r="X71" i="18"/>
  <c r="N31" i="18"/>
  <c r="W132" i="18"/>
  <c r="W141" i="18" s="1"/>
  <c r="X70" i="18"/>
  <c r="W70" i="18"/>
  <c r="W22" i="18"/>
  <c r="X22" i="18"/>
  <c r="W20" i="18"/>
  <c r="X20" i="18"/>
  <c r="W94" i="18"/>
  <c r="X94"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6"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5" i="18" l="1"/>
  <c r="K136" i="20"/>
  <c r="J136" i="20"/>
  <c r="I136" i="20"/>
  <c r="G135" i="20"/>
  <c r="G55" i="13"/>
  <c r="W95" i="18" l="1"/>
  <c r="X95"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7"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6" i="18" l="1"/>
  <c r="G101" i="20"/>
  <c r="I102" i="20"/>
  <c r="J102" i="20"/>
  <c r="K102" i="20"/>
  <c r="E13" i="18"/>
  <c r="G12" i="18"/>
  <c r="E21" i="13"/>
  <c r="G22" i="13"/>
  <c r="F96" i="15"/>
  <c r="C32" i="18"/>
  <c r="E7" i="14"/>
  <c r="G8" i="14"/>
  <c r="I5" i="6"/>
  <c r="W96" i="18" l="1"/>
  <c r="X9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8" i="18" l="1"/>
  <c r="B24" i="26"/>
  <c r="B2" i="27" s="1"/>
  <c r="G2" i="26"/>
  <c r="G25" i="26" s="1"/>
  <c r="G84" i="20"/>
  <c r="J85" i="20"/>
  <c r="I85" i="20"/>
  <c r="K85" i="20"/>
  <c r="E48" i="18"/>
  <c r="I2" i="22"/>
  <c r="I25" i="22" s="1"/>
  <c r="I30" i="22" s="1"/>
  <c r="D24" i="22"/>
  <c r="C24" i="23"/>
  <c r="C2" i="24" s="1"/>
  <c r="H2" i="23"/>
  <c r="D2" i="23"/>
  <c r="G5" i="13"/>
  <c r="E4" i="13"/>
  <c r="F79" i="15"/>
  <c r="C49" i="18"/>
  <c r="S99" i="18" l="1"/>
  <c r="S100" i="18" s="1"/>
  <c r="S101" i="18" s="1"/>
  <c r="S102" i="18" s="1"/>
  <c r="V9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1" i="18" l="1"/>
  <c r="X101" i="18" s="1"/>
  <c r="W97" i="18"/>
  <c r="X9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2" i="18" l="1"/>
  <c r="W101" i="18"/>
  <c r="V98" i="18"/>
  <c r="G2" i="29"/>
  <c r="G25" i="29" s="1"/>
  <c r="B24" i="29"/>
  <c r="B2" i="30" s="1"/>
  <c r="I2" i="25"/>
  <c r="I25" i="25" s="1"/>
  <c r="I30" i="25" s="1"/>
  <c r="D24" i="25"/>
  <c r="C24" i="26"/>
  <c r="C2" i="27" s="1"/>
  <c r="H2" i="26"/>
  <c r="H25" i="26" s="1"/>
  <c r="H30" i="26" s="1"/>
  <c r="D2" i="26"/>
  <c r="G81" i="20"/>
  <c r="K82" i="20"/>
  <c r="I82" i="20"/>
  <c r="J82" i="20"/>
  <c r="F76" i="15"/>
  <c r="C52" i="18"/>
  <c r="E51" i="18"/>
  <c r="W102" i="18" l="1"/>
  <c r="X102" i="18"/>
  <c r="W98" i="18"/>
  <c r="X9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9" i="18" l="1"/>
  <c r="I2" i="48"/>
  <c r="I28" i="48" s="1"/>
  <c r="I33" i="48" s="1"/>
  <c r="D27" i="48"/>
  <c r="B32" i="55"/>
  <c r="B2" i="57" s="1"/>
  <c r="G2" i="55"/>
  <c r="G33" i="55" s="1"/>
  <c r="C27" i="50"/>
  <c r="C2" i="51" s="1"/>
  <c r="H2" i="50"/>
  <c r="H28" i="50" s="1"/>
  <c r="H33" i="50" s="1"/>
  <c r="D2" i="50"/>
  <c r="G68" i="20"/>
  <c r="I69" i="20"/>
  <c r="J69" i="20"/>
  <c r="K69" i="20"/>
  <c r="F63" i="15"/>
  <c r="X99" i="18" l="1"/>
  <c r="W9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0" i="18" l="1"/>
  <c r="W100" i="18" s="1"/>
  <c r="H2" i="58"/>
  <c r="H35" i="58" s="1"/>
  <c r="H40" i="58" s="1"/>
  <c r="C34" i="58"/>
  <c r="D2" i="58"/>
  <c r="I2" i="57"/>
  <c r="I35" i="57" s="1"/>
  <c r="I40" i="57" s="1"/>
  <c r="D34" i="57"/>
  <c r="G63" i="20"/>
  <c r="K64" i="20"/>
  <c r="J64" i="20"/>
  <c r="I64" i="20"/>
  <c r="F58" i="15"/>
  <c r="X10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3" i="18" l="1"/>
  <c r="G57" i="20"/>
  <c r="I58" i="20"/>
  <c r="J58" i="20"/>
  <c r="K58" i="20"/>
  <c r="F52" i="15"/>
  <c r="S104" i="18" l="1"/>
  <c r="S105" i="18" s="1"/>
  <c r="S106" i="18" s="1"/>
  <c r="V103" i="18"/>
  <c r="G56" i="20"/>
  <c r="K57" i="20"/>
  <c r="J57" i="20"/>
  <c r="I57" i="20"/>
  <c r="F51" i="15"/>
  <c r="X103" i="18" l="1"/>
  <c r="W103" i="18"/>
  <c r="V104" i="18"/>
  <c r="G55" i="20"/>
  <c r="I56" i="20"/>
  <c r="K56" i="20"/>
  <c r="J56" i="20"/>
  <c r="F50" i="15"/>
  <c r="W104" i="18" l="1"/>
  <c r="X10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5" i="18" l="1"/>
  <c r="G45" i="20"/>
  <c r="I46" i="20"/>
  <c r="K46" i="20"/>
  <c r="J46" i="20"/>
  <c r="F40" i="15"/>
  <c r="W105" i="18" l="1"/>
  <c r="X105" i="18"/>
  <c r="G44" i="20"/>
  <c r="I45" i="20"/>
  <c r="J45" i="20"/>
  <c r="K45" i="20"/>
  <c r="F39" i="15"/>
  <c r="G43" i="20" l="1"/>
  <c r="I44" i="20"/>
  <c r="J44" i="20"/>
  <c r="K44" i="20"/>
  <c r="F38" i="15"/>
  <c r="G42" i="20" l="1"/>
  <c r="J43" i="20"/>
  <c r="K43" i="20"/>
  <c r="I43" i="20"/>
  <c r="F37" i="15"/>
  <c r="G41" i="20" l="1"/>
  <c r="I42" i="20"/>
  <c r="K42" i="20"/>
  <c r="J42" i="20"/>
  <c r="F36" i="15"/>
  <c r="S107" i="18" l="1"/>
  <c r="S108" i="18" s="1"/>
  <c r="G40" i="20"/>
  <c r="K41" i="20"/>
  <c r="J41" i="20"/>
  <c r="I41" i="20"/>
  <c r="F35" i="15"/>
  <c r="V107" i="18" l="1"/>
  <c r="V106" i="18"/>
  <c r="X106" i="18" s="1"/>
  <c r="G39" i="20"/>
  <c r="I40" i="20"/>
  <c r="J40" i="20"/>
  <c r="K40" i="20"/>
  <c r="F34" i="15"/>
  <c r="W107" i="18" l="1"/>
  <c r="X107" i="18"/>
  <c r="W106" i="18"/>
  <c r="G38" i="20"/>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G28" i="20"/>
  <c r="I29" i="20"/>
  <c r="J29" i="20"/>
  <c r="K29" i="20"/>
  <c r="F23" i="15"/>
  <c r="S115" i="18" l="1"/>
  <c r="V114" i="18"/>
  <c r="X112" i="18"/>
  <c r="V113" i="18"/>
  <c r="G27" i="20"/>
  <c r="I28" i="20"/>
  <c r="J28" i="20"/>
  <c r="K28" i="20"/>
  <c r="F22" i="15"/>
  <c r="V115" i="18" l="1"/>
  <c r="X115" i="18" s="1"/>
  <c r="S116" i="18"/>
  <c r="W115" i="18"/>
  <c r="X114" i="18"/>
  <c r="W114" i="18"/>
  <c r="W113" i="18"/>
  <c r="X113" i="18"/>
  <c r="G26" i="20"/>
  <c r="J27" i="20"/>
  <c r="K27" i="20"/>
  <c r="I27" i="20"/>
  <c r="F21" i="15"/>
  <c r="V116" i="18" l="1"/>
  <c r="X116" i="18" s="1"/>
  <c r="S117" i="18"/>
  <c r="G25" i="20"/>
  <c r="J26" i="20"/>
  <c r="K26" i="20"/>
  <c r="I26" i="20"/>
  <c r="F20" i="15"/>
  <c r="W116" i="18" l="1"/>
  <c r="V117" i="18"/>
  <c r="S118" i="18"/>
  <c r="G24" i="20"/>
  <c r="K25" i="20"/>
  <c r="J25" i="20"/>
  <c r="I25" i="20"/>
  <c r="F19" i="15"/>
  <c r="V118" i="18" l="1"/>
  <c r="W118" i="18" s="1"/>
  <c r="S119" i="18"/>
  <c r="S120" i="18" s="1"/>
  <c r="V120" i="18" s="1"/>
  <c r="W117" i="18"/>
  <c r="X117" i="18"/>
  <c r="X118" i="18"/>
  <c r="G23" i="20"/>
  <c r="I24" i="20"/>
  <c r="J24" i="20"/>
  <c r="K24" i="20"/>
  <c r="F18" i="15"/>
  <c r="W120" i="18" l="1"/>
  <c r="X120" i="18"/>
  <c r="V119" i="18"/>
  <c r="W119" i="18" s="1"/>
  <c r="G22" i="20"/>
  <c r="J23" i="20"/>
  <c r="K23" i="20"/>
  <c r="I23" i="20"/>
  <c r="F17" i="15"/>
  <c r="X119" i="18" l="1"/>
  <c r="G21" i="20"/>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<sst xmlns="http://schemas.openxmlformats.org/spreadsheetml/2006/main" count="14656" uniqueCount="5857">
  <si>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</si>
  <si>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</si>
  <si>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</si>
  <si>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</si>
  <si>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</si>
  <si>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</si>
  <si>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</si>
  <si>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</si>
  <si>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</si>
  <si>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</si>
  <si>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</si>
  <si>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</si>
  <si>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</si>
  <si>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</si>
  <si>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</si>
  <si>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</si>
  <si>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</si>
  <si>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</si>
  <si>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</si>
  <si>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</si>
  <si>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</si>
  <si>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</si>
  <si>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</si>
  <si>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</si>
  <si>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</si>
  <si>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</si>
  <si>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</si>
  <si>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</si>
  <si>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</si>
  <si>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</si>
  <si>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</si>
  <si>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</si>
  <si>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</si>
  <si>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</si>
  <si>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</si>
  <si>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</si>
  <si>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</si>
  <si>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</si>
  <si>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</si>
  <si>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</si>
  <si>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</si>
  <si>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</si>
  <si>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</si>
  <si>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</si>
  <si>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</si>
  <si>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</si>
  <si>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</si>
  <si>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</si>
  <si>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</si>
  <si>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</si>
  <si>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</si>
  <si>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</si>
  <si>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</si>
  <si>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</si>
  <si>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</si>
  <si>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</si>
  <si>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</si>
  <si>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</si>
  <si>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</si>
  <si>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</si>
  <si>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</si>
  <si>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</si>
  <si>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</si>
  <si>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</si>
  <si>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</si>
  <si>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</si>
  <si>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</si>
  <si>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</si>
  <si>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</si>
  <si>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</si>
  <si>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</si>
  <si>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</si>
  <si>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</si>
  <si>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</si>
  <si>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</si>
  <si>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</si>
  <si>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</si>
  <si>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</si>
  <si>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</si>
  <si>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</si>
  <si>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</si>
  <si>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</si>
  <si>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</si>
  <si>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</si>
  <si>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</si>
  <si>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</si>
  <si>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</si>
  <si>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</si>
  <si>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</si>
  <si>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</si>
  <si>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</si>
  <si>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</si>
  <si>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</si>
  <si>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</si>
  <si>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</si>
  <si>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</si>
  <si>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</si>
  <si>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</si>
  <si>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</si>
  <si>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</si>
  <si>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</si>
  <si>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</si>
  <si>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</si>
  <si>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</si>
  <si>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</si>
  <si>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</si>
  <si>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</si>
  <si>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</si>
  <si>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</si>
  <si>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</si>
  <si>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</si>
  <si>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</si>
  <si>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</si>
  <si>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</si>
  <si>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</si>
  <si>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</si>
  <si>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</si>
  <si>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</si>
  <si>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</si>
  <si>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</si>
  <si>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</si>
  <si>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</si>
  <si>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</si>
  <si>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</si>
  <si>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</si>
  <si>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</si>
  <si>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</si>
  <si>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</si>
  <si>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</si>
  <si>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</si>
  <si>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</si>
  <si>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</si>
  <si>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</si>
  <si>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</si>
  <si>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</si>
  <si>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</si>
  <si>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</si>
  <si>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</si>
  <si>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</si>
  <si>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</si>
  <si>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</si>
  <si>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</si>
  <si>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</si>
  <si>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</si>
  <si>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</si>
  <si>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</si>
  <si>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</si>
  <si>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</si>
  <si>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</si>
  <si>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</si>
  <si>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</si>
  <si>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</si>
  <si>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</si>
  <si>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</si>
  <si>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</si>
  <si>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</si>
  <si>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</si>
  <si>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</si>
  <si>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</si>
  <si>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</si>
  <si>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</si>
  <si>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</si>
  <si>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</si>
  <si>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</si>
  <si>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</si>
  <si>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</si>
  <si>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</si>
  <si>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</si>
  <si>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</si>
  <si>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</si>
  <si>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</si>
  <si>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</si>
  <si>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</si>
  <si>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</si>
  <si>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</si>
  <si>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</si>
  <si>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</si>
  <si>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</si>
  <si>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</si>
  <si>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</si>
  <si>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</si>
  <si>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</si>
  <si>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</si>
  <si>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</si>
  <si>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</si>
  <si>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</si>
  <si>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</si>
  <si>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</si>
  <si>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</si>
  <si>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</si>
  <si>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</si>
  <si>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</si>
  <si>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</si>
  <si>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</si>
  <si>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</si>
  <si>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</si>
  <si>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</si>
  <si>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</si>
  <si>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</si>
  <si>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</si>
  <si>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</si>
  <si>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</si>
  <si>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</si>
  <si>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</si>
  <si>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</si>
  <si>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</si>
  <si>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</si>
  <si>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</si>
  <si>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</si>
  <si>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</si>
  <si>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</si>
  <si>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</si>
  <si>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</si>
  <si>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</si>
  <si>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</si>
  <si>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</si>
  <si>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</si>
  <si>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</si>
  <si>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</si>
  <si>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</si>
  <si>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</si>
  <si>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</si>
  <si>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</si>
  <si>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</si>
  <si>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</si>
  <si>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</si>
  <si>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</si>
  <si>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</si>
  <si>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</si>
  <si>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</si>
  <si>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</si>
  <si>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</si>
  <si>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</si>
  <si>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</si>
  <si>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</si>
  <si>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</si>
  <si>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</si>
  <si>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</si>
  <si>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</si>
  <si>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</si>
  <si>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</si>
  <si>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</si>
  <si>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</si>
  <si>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</si>
  <si>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</si>
  <si>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</si>
  <si>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</si>
  <si>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</si>
  <si>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</si>
  <si>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</si>
  <si>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</si>
  <si>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</si>
  <si>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</si>
  <si>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</si>
  <si>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</si>
  <si>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</si>
  <si>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</si>
  <si>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</si>
  <si>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</si>
  <si>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</si>
  <si>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</si>
  <si>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</si>
  <si>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</si>
  <si>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</si>
  <si>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</si>
  <si>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</si>
  <si>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</si>
  <si>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</si>
  <si>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</si>
  <si>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</si>
  <si>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</si>
  <si>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</si>
  <si>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</si>
  <si>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</si>
  <si>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</si>
  <si>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</si>
  <si>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</si>
  <si>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</si>
  <si>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</si>
  <si>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</si>
  <si>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</si>
  <si>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</si>
  <si>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</si>
  <si>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</si>
  <si>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</si>
  <si>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</si>
  <si>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</si>
  <si>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</si>
  <si>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</si>
  <si>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</si>
  <si>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</si>
  <si>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</si>
  <si>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</si>
  <si>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</si>
  <si>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</si>
  <si>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</si>
  <si>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</si>
  <si>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</si>
  <si>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</si>
  <si>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</si>
  <si>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</si>
  <si>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</si>
  <si>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</si>
  <si>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</si>
  <si>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</si>
  <si>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</si>
  <si>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</si>
  <si>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</si>
  <si>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</si>
  <si>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</si>
  <si>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</si>
  <si>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</si>
  <si>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</si>
  <si>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</si>
  <si>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</si>
  <si>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</si>
  <si>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</si>
  <si>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</si>
  <si>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</si>
  <si>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</si>
  <si>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</si>
  <si>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</si>
  <si>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</si>
  <si>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</si>
  <si>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</si>
  <si>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</si>
  <si>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</si>
  <si>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</si>
  <si>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</si>
  <si>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</si>
  <si>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</si>
  <si>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</si>
  <si>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</si>
  <si>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</si>
  <si>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</si>
  <si>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</si>
  <si>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</si>
  <si>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</si>
  <si>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</si>
  <si>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</si>
  <si>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</si>
  <si>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</si>
  <si>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</si>
  <si>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</si>
  <si>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</si>
  <si>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</si>
  <si>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</si>
  <si>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</si>
  <si>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</si>
  <si>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</si>
  <si>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</si>
  <si>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</si>
  <si>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</si>
  <si>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</si>
  <si>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</si>
  <si>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</si>
  <si>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</si>
  <si>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</si>
  <si>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</si>
  <si>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</si>
  <si>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</si>
  <si>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</si>
  <si>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</si>
  <si>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</si>
  <si>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</si>
  <si>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</si>
  <si>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</si>
  <si>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</si>
  <si>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</si>
  <si>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</si>
  <si>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</si>
  <si>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</si>
  <si>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</si>
  <si>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</si>
  <si>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</si>
  <si>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</si>
  <si>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</si>
  <si>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</si>
  <si>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</si>
  <si>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</si>
  <si>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</si>
  <si>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</si>
  <si>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</si>
  <si>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</si>
  <si>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</si>
  <si>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</si>
  <si>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</si>
  <si>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</si>
  <si>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</si>
  <si>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</si>
  <si>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</si>
  <si>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</si>
  <si>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</si>
  <si>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</si>
  <si>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</si>
  <si>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</si>
  <si>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</si>
  <si>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</si>
  <si>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</si>
  <si>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</si>
  <si>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</si>
  <si>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</si>
  <si>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</si>
  <si>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</si>
  <si>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</si>
  <si>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</si>
  <si>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</si>
  <si>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</si>
  <si>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</si>
  <si>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</si>
  <si>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</si>
  <si>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</si>
  <si>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</si>
  <si>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</si>
  <si>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</si>
  <si>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</si>
  <si>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</si>
  <si>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</si>
  <si>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</si>
  <si>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</si>
  <si>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</si>
  <si>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</si>
  <si>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</si>
  <si>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</si>
  <si>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</si>
  <si>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</si>
  <si>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</si>
  <si>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</si>
  <si>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</si>
  <si>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</si>
  <si>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</si>
  <si>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</si>
  <si>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</si>
  <si>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</si>
  <si>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</si>
  <si>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</si>
  <si>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</si>
  <si>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</si>
  <si>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</si>
  <si>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</si>
  <si>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</si>
  <si>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</si>
  <si>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</si>
  <si>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</si>
  <si>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</si>
  <si>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</si>
  <si>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</si>
  <si>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</si>
  <si>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</si>
  <si>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</si>
  <si>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</si>
  <si>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</si>
  <si>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</si>
  <si>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</si>
  <si>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</si>
  <si>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</si>
  <si>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</si>
  <si>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</si>
  <si>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</si>
  <si>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</si>
  <si>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</si>
  <si>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</si>
  <si>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</si>
  <si>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</si>
  <si>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</si>
  <si>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</si>
  <si>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</si>
  <si>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</si>
  <si>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</si>
  <si>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</si>
  <si>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</si>
  <si>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</si>
  <si>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</si>
  <si>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</si>
  <si>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</si>
  <si>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</si>
  <si>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</si>
  <si>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</si>
  <si>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</si>
  <si>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</si>
  <si>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</si>
  <si>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</si>
  <si>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</si>
  <si>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</si>
  <si>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</si>
  <si>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</si>
  <si>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</si>
  <si>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</si>
  <si>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</si>
  <si>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</si>
  <si>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</si>
  <si>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</si>
  <si>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</si>
  <si>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</si>
  <si>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</si>
  <si>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</si>
  <si>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</si>
  <si>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</si>
  <si>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</si>
  <si>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</si>
  <si>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</si>
  <si>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</si>
  <si>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</si>
  <si>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</si>
  <si>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</si>
  <si>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</si>
  <si>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</si>
  <si>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</si>
  <si>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</si>
  <si>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</si>
  <si>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</si>
  <si>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</si>
  <si>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</si>
  <si>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</si>
  <si>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</si>
  <si>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</si>
  <si>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</si>
  <si>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</si>
  <si>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</si>
  <si>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</si>
  <si>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</si>
  <si>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</si>
  <si>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</si>
  <si>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</si>
  <si>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</si>
  <si>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</si>
  <si>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</si>
  <si>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</si>
  <si>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</si>
  <si>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</si>
  <si>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</si>
  <si>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</si>
  <si>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</si>
  <si>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</si>
  <si>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</si>
  <si>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</si>
  <si>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</si>
  <si>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</si>
  <si>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</si>
  <si>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</si>
  <si>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</si>
  <si>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</si>
  <si>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</si>
  <si>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</si>
  <si>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</si>
  <si>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</si>
  <si>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</si>
  <si>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</si>
  <si>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</si>
  <si>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</si>
  <si>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</si>
  <si>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</si>
  <si>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</si>
  <si>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</si>
  <si>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</si>
  <si>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</si>
  <si>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</si>
  <si>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</si>
  <si>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</si>
  <si>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</si>
  <si>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</si>
  <si>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</si>
  <si>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</si>
  <si>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</si>
  <si>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</si>
  <si>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</si>
  <si>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</si>
  <si>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</si>
  <si>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</si>
  <si>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</si>
  <si>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</si>
  <si>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</si>
  <si>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</si>
  <si>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</si>
  <si>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</si>
  <si>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</si>
  <si>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</si>
  <si>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</si>
  <si>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</si>
  <si>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</si>
  <si>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</si>
  <si>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</si>
  <si>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</si>
  <si>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</si>
  <si>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</si>
  <si>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</si>
  <si>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</si>
  <si>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</si>
  <si>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</si>
  <si>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</si>
  <si>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</si>
  <si>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</si>
  <si>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</si>
  <si>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</si>
  <si>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</si>
  <si>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</si>
  <si>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</si>
  <si>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</si>
  <si>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</si>
  <si>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</si>
  <si>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</si>
  <si>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</si>
  <si>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</si>
  <si>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</si>
  <si>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</si>
  <si>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</si>
  <si>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</si>
  <si>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</si>
  <si>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</si>
  <si>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</si>
  <si>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</si>
  <si>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</si>
  <si>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</si>
  <si>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</si>
  <si>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</si>
  <si>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</si>
  <si>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</si>
  <si>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</si>
  <si>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</si>
  <si>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</si>
  <si>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</si>
  <si>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</si>
  <si>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</si>
  <si>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</si>
  <si>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</si>
  <si>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</si>
  <si>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</si>
  <si>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</si>
  <si>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</si>
  <si>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</si>
  <si>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</si>
  <si>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</si>
  <si>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</si>
  <si>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</si>
  <si>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</si>
  <si>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</si>
  <si>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</si>
  <si>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</si>
  <si>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</si>
  <si>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</si>
  <si>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</si>
  <si>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</si>
  <si>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</si>
  <si>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</si>
  <si>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</si>
  <si>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</si>
  <si>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</si>
  <si>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</si>
  <si>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</si>
  <si>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</si>
  <si>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</si>
  <si>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</si>
  <si>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</si>
  <si>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</si>
  <si>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</si>
  <si>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</si>
  <si>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</si>
  <si>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</si>
  <si>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</si>
  <si>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</si>
  <si>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</si>
  <si>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</si>
  <si>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</si>
  <si>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</si>
  <si>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</si>
  <si>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</si>
  <si>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</si>
  <si>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</si>
  <si>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</si>
  <si>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</si>
  <si>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</si>
  <si>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</si>
  <si>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</si>
  <si>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</si>
  <si>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</si>
  <si>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</si>
  <si>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</si>
  <si>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</si>
  <si>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</si>
  <si>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</si>
  <si>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</si>
  <si>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</si>
  <si>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</si>
  <si>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</si>
  <si>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</si>
  <si>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</si>
  <si>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</si>
  <si>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</si>
  <si>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</si>
  <si>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</si>
  <si>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</si>
  <si>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</si>
  <si>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</si>
  <si>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</si>
  <si>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</si>
  <si>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</si>
  <si>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</si>
  <si>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</si>
  <si>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</si>
  <si>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</si>
  <si>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</si>
  <si>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</si>
  <si>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</si>
  <si>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</si>
  <si>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</si>
  <si>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</si>
  <si>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</si>
  <si>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</si>
  <si>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</si>
  <si>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</si>
  <si>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</si>
  <si>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</si>
  <si>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</si>
  <si>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</si>
  <si>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</si>
  <si>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</si>
  <si>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</si>
  <si>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</si>
  <si>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</si>
  <si>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</si>
  <si>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</si>
  <si>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</si>
  <si>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</si>
  <si>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</si>
  <si>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</si>
  <si>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</si>
  <si>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</si>
  <si>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</si>
  <si>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</si>
  <si>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</si>
  <si>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</si>
  <si>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</si>
  <si>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</si>
  <si>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</si>
  <si>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</si>
  <si>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</si>
  <si>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</si>
  <si>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</si>
  <si>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</si>
  <si>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</si>
  <si>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</si>
  <si>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</si>
  <si>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</si>
  <si>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</si>
  <si>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</si>
  <si>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</si>
  <si>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</si>
  <si>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</si>
  <si>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</si>
  <si>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</si>
  <si>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</si>
  <si>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</si>
  <si>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</si>
  <si>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</si>
  <si>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</si>
  <si>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</si>
  <si>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</si>
  <si>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</si>
  <si>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</si>
  <si>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</si>
  <si>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</si>
  <si>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</si>
  <si>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</si>
  <si>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</si>
  <si>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</si>
  <si>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</si>
  <si>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</si>
  <si>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</si>
  <si>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</si>
  <si>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</si>
  <si>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</si>
  <si>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</si>
  <si>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</si>
  <si>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</si>
  <si>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</si>
  <si>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</si>
  <si>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</si>
  <si>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</si>
  <si>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</si>
  <si>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</si>
  <si>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</si>
  <si>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</si>
  <si>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</si>
  <si>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</si>
  <si>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</si>
  <si>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</si>
  <si>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</si>
  <si>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</si>
  <si>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</si>
  <si>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</si>
  <si>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</si>
  <si>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</si>
  <si>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</si>
  <si>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</si>
  <si>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</si>
  <si>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</si>
  <si>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</si>
  <si>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</si>
  <si>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</si>
  <si>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</si>
  <si>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</si>
  <si>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</si>
  <si>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</si>
  <si>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</si>
  <si>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</si>
  <si>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</si>
  <si>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</si>
  <si>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</si>
  <si>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</si>
  <si>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</si>
  <si>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</si>
  <si>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</si>
  <si>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</si>
  <si>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</si>
  <si>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</si>
  <si>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</si>
  <si>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</si>
  <si>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</si>
  <si>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</si>
  <si>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</si>
  <si>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</si>
  <si>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</si>
  <si>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</si>
  <si>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</si>
  <si>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</si>
  <si>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</si>
  <si>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</si>
  <si>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</si>
  <si>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</si>
  <si>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</si>
  <si>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</si>
  <si>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</si>
  <si>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</si>
  <si>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</si>
  <si>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</si>
  <si>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</si>
  <si>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</si>
  <si>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</si>
  <si>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</si>
  <si>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</si>
  <si>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</si>
  <si>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</si>
  <si>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</si>
  <si>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</si>
  <si>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</si>
  <si>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</si>
  <si>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</si>
  <si>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</si>
  <si>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</si>
  <si>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</si>
  <si>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</si>
  <si>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</si>
  <si>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</si>
  <si>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</si>
  <si>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</si>
  <si>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</si>
  <si>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</si>
  <si>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</si>
  <si>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</si>
  <si>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</si>
  <si>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</si>
  <si>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</si>
  <si>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</si>
  <si>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</si>
  <si>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</si>
  <si>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</si>
  <si>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</si>
  <si>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</si>
  <si>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</si>
  <si>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</si>
  <si>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</si>
  <si>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</si>
  <si>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</si>
  <si>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</si>
  <si>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</si>
  <si>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</si>
  <si>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</si>
  <si>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</si>
  <si>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</si>
  <si>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</si>
  <si>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</si>
  <si>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</si>
  <si>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</si>
  <si>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</si>
  <si>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</si>
  <si>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</si>
  <si>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</si>
  <si>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</si>
  <si>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</si>
  <si>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</si>
  <si>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</si>
  <si>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</si>
  <si>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</si>
  <si>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</si>
  <si>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</si>
  <si>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</si>
  <si>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</si>
  <si>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</si>
  <si>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</si>
  <si>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</si>
  <si>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</si>
  <si>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</si>
  <si>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</si>
  <si>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</si>
  <si>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</si>
  <si>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</si>
  <si>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</si>
  <si>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</si>
  <si>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</si>
  <si>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</si>
  <si>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</si>
  <si>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</si>
  <si>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</si>
  <si>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</si>
  <si>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</si>
  <si>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</si>
  <si>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</si>
  <si>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</si>
  <si>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</si>
  <si>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</si>
  <si>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</si>
  <si>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</si>
  <si>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</si>
  <si>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</si>
  <si>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</si>
  <si>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</si>
  <si>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</si>
  <si>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</si>
  <si>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</si>
  <si>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</si>
  <si>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</si>
  <si>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</si>
  <si>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</si>
  <si>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</si>
  <si>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</si>
  <si>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</si>
  <si>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</si>
  <si>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</si>
  <si>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</si>
  <si>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</si>
  <si>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</si>
  <si>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</si>
  <si>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</si>
  <si>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</si>
  <si>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</si>
  <si>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</si>
  <si>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</si>
  <si>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</si>
  <si>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</si>
  <si>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</si>
  <si>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</si>
  <si>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</si>
  <si>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</si>
  <si>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</si>
  <si>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</si>
  <si>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</si>
  <si>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</si>
  <si>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</si>
  <si>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</si>
  <si>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</si>
  <si>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</si>
  <si>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</si>
  <si>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</si>
  <si>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</si>
  <si>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</si>
  <si>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</si>
  <si>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</si>
  <si>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</si>
  <si>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</si>
  <si>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</si>
  <si>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</si>
  <si>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</si>
  <si>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</si>
  <si>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</si>
  <si>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</si>
  <si>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</si>
  <si>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</si>
  <si>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</si>
  <si>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</si>
  <si>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</si>
  <si>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</si>
  <si>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</si>
  <si>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</si>
  <si>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</si>
  <si>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</si>
  <si>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</si>
  <si>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</si>
  <si>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</si>
  <si>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</si>
  <si>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</si>
  <si>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</si>
  <si>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</si>
  <si>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</si>
  <si>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</si>
  <si>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</si>
  <si>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</si>
  <si>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</si>
  <si>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</si>
  <si>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</si>
  <si>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</si>
  <si>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</si>
  <si>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</si>
  <si>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</si>
  <si>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</si>
  <si>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</si>
  <si>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</si>
  <si>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</si>
  <si>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</si>
  <si>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</si>
  <si>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</si>
  <si>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</si>
  <si>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</si>
  <si>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</si>
  <si>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</si>
  <si>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</si>
  <si>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</si>
  <si>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</si>
  <si>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</si>
  <si>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</si>
  <si>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</si>
  <si>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</si>
  <si>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</si>
  <si>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</si>
  <si>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</si>
  <si>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</si>
  <si>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</si>
  <si>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</si>
  <si>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</si>
  <si>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</si>
  <si>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</si>
  <si>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</si>
  <si>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</si>
  <si>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</si>
  <si>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</si>
  <si>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</si>
  <si>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</si>
  <si>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</si>
  <si>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</si>
  <si>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</si>
  <si>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</si>
  <si>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</si>
  <si>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</si>
  <si>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</si>
  <si>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</si>
  <si>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</si>
  <si>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</si>
  <si>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</si>
  <si>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</si>
  <si>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</si>
  <si>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</si>
  <si>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</si>
  <si>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</si>
  <si>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</si>
  <si>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</si>
  <si>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</si>
  <si>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</si>
  <si>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</si>
  <si>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</si>
  <si>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</si>
  <si>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</si>
  <si>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</si>
  <si>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</si>
  <si>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</si>
  <si>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</si>
  <si>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</si>
  <si>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</si>
  <si>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</si>
  <si>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</si>
  <si>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</si>
  <si>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</si>
  <si>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</si>
  <si>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</si>
  <si>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</si>
  <si>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</si>
  <si>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</si>
  <si>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</si>
  <si>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</si>
  <si>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</si>
  <si>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</si>
  <si>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</si>
  <si>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</si>
  <si>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</si>
  <si>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</si>
  <si>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</si>
  <si>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</si>
  <si>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</si>
  <si>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</si>
  <si>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</si>
  <si>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</si>
  <si>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</si>
  <si>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</si>
  <si>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</si>
  <si>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</si>
  <si>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</si>
  <si>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</si>
  <si>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</si>
  <si>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</si>
  <si>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</si>
  <si>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</si>
  <si>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</si>
  <si>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</si>
  <si>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</si>
  <si>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</si>
  <si>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</si>
  <si>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</si>
  <si>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</si>
  <si>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</si>
  <si>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</si>
  <si>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</si>
  <si>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</si>
  <si>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</si>
  <si>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</si>
  <si>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</si>
  <si>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</si>
  <si>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</si>
  <si>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</si>
  <si>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</si>
  <si>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</si>
  <si>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</si>
  <si>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</si>
  <si>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</si>
  <si>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</si>
  <si>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</si>
  <si>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</si>
  <si>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</si>
  <si>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</si>
  <si>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</si>
  <si>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</si>
  <si>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</si>
  <si>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</si>
  <si>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</si>
  <si>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</si>
  <si>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</si>
  <si>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</si>
  <si>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</si>
  <si>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</si>
  <si>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</si>
  <si>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</si>
  <si>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</si>
  <si>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</si>
  <si>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</si>
  <si>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</si>
  <si>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</si>
  <si>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</si>
  <si>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</si>
  <si>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</si>
  <si>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</si>
  <si>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</si>
  <si>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</si>
  <si>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</si>
  <si>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</si>
  <si>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</si>
  <si>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</si>
  <si>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</si>
  <si>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</si>
  <si>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</si>
  <si>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</si>
  <si>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</si>
  <si>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</si>
  <si>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</si>
  <si>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</si>
  <si>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</si>
  <si>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</si>
  <si>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</si>
  <si>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</si>
  <si>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</si>
  <si>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</si>
  <si>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</si>
  <si>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</si>
  <si>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</si>
  <si>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</si>
  <si>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</si>
  <si>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</si>
  <si>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</si>
  <si>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</si>
  <si>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</si>
  <si>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</si>
  <si>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</si>
  <si>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</si>
  <si>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</si>
  <si>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</si>
  <si>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</si>
  <si>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</si>
  <si>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</si>
  <si>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</si>
  <si>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</si>
  <si>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</si>
  <si>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</si>
  <si>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</si>
  <si>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</si>
  <si>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</si>
  <si>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</si>
  <si>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</si>
  <si>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</si>
  <si>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</si>
  <si>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</si>
  <si>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</si>
  <si>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</si>
  <si>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</si>
  <si>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</si>
  <si>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</si>
  <si>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</si>
  <si>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</si>
  <si>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</si>
  <si>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</si>
  <si>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</si>
  <si>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</si>
  <si>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</si>
  <si>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</si>
  <si>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</si>
  <si>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</si>
  <si>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</si>
  <si>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</si>
  <si>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</si>
  <si>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</si>
  <si>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</si>
  <si>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</si>
  <si>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</si>
  <si>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</si>
  <si>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</si>
  <si>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</si>
  <si>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</si>
  <si>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</si>
  <si>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</si>
  <si>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</si>
  <si>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</si>
  <si>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</si>
  <si>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</si>
  <si>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</si>
  <si>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</si>
  <si>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</si>
  <si>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</si>
  <si>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</si>
  <si>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</si>
  <si>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</si>
  <si>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</si>
  <si>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</si>
  <si>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</si>
  <si>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</si>
  <si>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</si>
  <si>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</si>
  <si>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</si>
  <si>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</si>
  <si>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</si>
  <si>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</si>
  <si>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</si>
  <si>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</si>
  <si>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</si>
  <si>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</si>
  <si>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</si>
  <si>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</si>
  <si>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</si>
  <si>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</si>
  <si>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</si>
  <si>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</si>
  <si>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</si>
  <si>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</si>
  <si>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</si>
  <si>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</si>
  <si>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</si>
  <si>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</si>
  <si>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</si>
  <si>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</si>
  <si>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</si>
  <si>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</si>
  <si>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</si>
  <si>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</si>
  <si>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</si>
  <si>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</si>
  <si>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</si>
  <si>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</si>
  <si>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</si>
  <si>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</si>
  <si>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</si>
  <si>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</si>
  <si>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</si>
  <si>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</si>
  <si>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</si>
  <si>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</si>
  <si>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</si>
  <si>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</si>
  <si>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</si>
  <si>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</si>
  <si>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</si>
  <si>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</si>
  <si>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</si>
  <si>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</si>
  <si>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</si>
  <si>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</si>
  <si>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</si>
  <si>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</si>
  <si>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</si>
  <si>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</si>
  <si>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</si>
  <si>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</si>
  <si>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</si>
  <si>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</si>
  <si>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</si>
  <si>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</si>
  <si>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</si>
  <si>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</si>
  <si>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</si>
  <si>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</si>
  <si>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</si>
  <si>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</si>
  <si>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</si>
  <si>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</si>
  <si>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</si>
  <si>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</si>
  <si>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</si>
  <si>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</si>
  <si>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</si>
  <si>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</si>
  <si>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</si>
  <si>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</si>
  <si>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</si>
  <si>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</si>
  <si>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</si>
  <si>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</si>
  <si>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</si>
  <si>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</si>
  <si>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</si>
  <si>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</si>
  <si>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</si>
  <si>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</si>
  <si>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</si>
  <si>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</si>
  <si>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</si>
  <si>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</si>
  <si>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</si>
  <si>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</si>
  <si>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</si>
  <si>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</si>
  <si>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</si>
  <si>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</si>
  <si>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</si>
  <si>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</si>
  <si>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</si>
  <si>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</si>
  <si>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</si>
  <si>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</si>
  <si>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</si>
  <si>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</si>
  <si>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</si>
  <si>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</si>
  <si>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</si>
  <si>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</si>
  <si>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</si>
  <si>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</si>
  <si>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</si>
  <si>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</si>
  <si>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</si>
  <si>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</si>
  <si>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</si>
  <si>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</si>
  <si>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</si>
  <si>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</si>
  <si>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</si>
  <si>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</si>
  <si>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</si>
  <si>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</si>
  <si>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</si>
  <si>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</si>
  <si>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</si>
  <si>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</si>
  <si>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</si>
  <si>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</si>
  <si>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</si>
  <si>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</si>
  <si>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</si>
  <si>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</si>
  <si>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</si>
  <si>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</si>
  <si>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</si>
  <si>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</si>
  <si>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</si>
  <si>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</si>
  <si>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</si>
  <si>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</si>
  <si>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</si>
  <si>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</si>
  <si>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</si>
  <si>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</si>
  <si>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</si>
  <si>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</si>
  <si>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</si>
  <si>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</si>
  <si>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</si>
  <si>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</si>
  <si>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</si>
  <si>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</si>
  <si>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</si>
  <si>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</si>
  <si>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</si>
  <si>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</si>
  <si>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</si>
  <si>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</si>
  <si>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</si>
  <si>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</si>
  <si>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</si>
  <si>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</si>
  <si>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</si>
  <si>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</si>
  <si>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</si>
  <si>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</si>
  <si>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</si>
  <si>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</si>
  <si>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</si>
  <si>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</si>
  <si>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</si>
  <si>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</si>
  <si>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</si>
  <si>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</si>
  <si>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</si>
  <si>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</si>
  <si>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</si>
  <si>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</si>
  <si>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</si>
  <si>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</si>
  <si>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</si>
  <si>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</si>
  <si>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</si>
  <si>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</si>
  <si>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</si>
  <si>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</si>
  <si>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</si>
  <si>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</si>
  <si>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</si>
  <si>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</si>
  <si>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</si>
  <si>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</si>
  <si>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</si>
  <si>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</si>
  <si>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</si>
  <si>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</si>
  <si>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</si>
  <si>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</si>
  <si>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</si>
  <si>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</si>
  <si>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</si>
  <si>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</si>
  <si>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</si>
  <si>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</si>
  <si>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</si>
  <si>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</si>
  <si>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</si>
  <si>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</si>
  <si>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</si>
  <si>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</si>
  <si>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</si>
  <si>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</si>
  <si>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</si>
  <si>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</si>
  <si>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</si>
  <si>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</si>
  <si>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</si>
  <si>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</si>
  <si>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</si>
  <si>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</si>
  <si>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</si>
  <si>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</si>
  <si>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</si>
  <si>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</si>
  <si>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</si>
  <si>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</si>
  <si>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</si>
  <si>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</si>
  <si>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</si>
  <si>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</si>
  <si>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</si>
  <si>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</si>
  <si>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</si>
  <si>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</si>
  <si>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</si>
  <si>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</si>
  <si>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</si>
  <si>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</si>
  <si>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</si>
  <si>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</si>
  <si>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</si>
  <si>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</si>
  <si>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</si>
  <si>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</si>
  <si>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</si>
  <si>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</si>
  <si>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</si>
  <si>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</si>
  <si>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</si>
  <si>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</si>
  <si>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</si>
  <si>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</si>
  <si>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</si>
  <si>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</si>
  <si>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</si>
  <si>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</si>
  <si>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</si>
  <si>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</si>
  <si>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</si>
  <si>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</si>
  <si>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</si>
  <si>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</si>
  <si>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</si>
  <si>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</si>
  <si>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</si>
  <si>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</si>
  <si>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</si>
  <si>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</si>
  <si>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</si>
  <si>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</si>
  <si>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</si>
  <si>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</si>
  <si>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</si>
  <si>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</si>
  <si>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</si>
  <si>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</si>
  <si>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</si>
  <si>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</si>
  <si>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</si>
  <si>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</si>
  <si>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</si>
  <si>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</si>
  <si>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</si>
  <si>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</si>
  <si>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</si>
  <si>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</si>
  <si>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</si>
  <si>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</si>
  <si>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</si>
  <si>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</si>
  <si>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</si>
  <si>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</si>
  <si>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</si>
  <si>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</si>
  <si>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</si>
  <si>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</si>
  <si>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</si>
  <si>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</si>
  <si>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</si>
  <si>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</si>
  <si>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</si>
  <si>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</si>
  <si>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</si>
  <si>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</si>
  <si>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</si>
  <si>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</si>
  <si>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</si>
  <si>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</si>
  <si>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</si>
  <si>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</si>
  <si>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</si>
  <si>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</si>
  <si>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</si>
  <si>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</si>
  <si>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</si>
  <si>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</si>
  <si>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</si>
  <si>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</si>
  <si>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</si>
  <si>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</si>
  <si>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</si>
  <si>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</si>
  <si>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</si>
  <si>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</si>
  <si>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</si>
  <si>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</si>
  <si>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</si>
  <si>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</si>
  <si>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</si>
  <si>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</si>
  <si>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</si>
  <si>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</si>
  <si>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</si>
  <si>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</si>
  <si>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</si>
  <si>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</si>
  <si>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</si>
  <si>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</si>
  <si>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</si>
  <si>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</si>
  <si>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</si>
  <si>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</si>
  <si>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</si>
  <si>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</si>
  <si>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</si>
  <si>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</si>
  <si>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</si>
  <si>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</si>
  <si>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</si>
  <si>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</si>
  <si>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</si>
  <si>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</si>
  <si>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</si>
  <si>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</si>
  <si>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</si>
  <si>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</si>
  <si>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</si>
  <si>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</si>
  <si>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</si>
  <si>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</si>
  <si>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</si>
  <si>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</si>
  <si>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</si>
  <si>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</si>
  <si>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</si>
  <si>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</si>
  <si>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</si>
  <si>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</si>
  <si>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</si>
  <si>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</si>
  <si>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</si>
  <si>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</si>
  <si>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</si>
  <si>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</si>
  <si>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</si>
  <si>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</si>
  <si>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</si>
  <si>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</si>
  <si>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</si>
  <si>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</si>
  <si>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</si>
  <si>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</si>
  <si>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</si>
  <si>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</si>
  <si>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</si>
  <si>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</si>
  <si>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</si>
  <si>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</si>
  <si>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</si>
  <si>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</si>
  <si>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</si>
  <si>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</si>
  <si>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</si>
  <si>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</si>
  <si>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</si>
  <si>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</si>
  <si>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</si>
  <si>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</si>
  <si>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</si>
  <si>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</si>
  <si>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</si>
  <si>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</si>
  <si>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</si>
  <si>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</si>
  <si>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</si>
  <si>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</si>
  <si>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</si>
  <si>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</si>
  <si>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</si>
  <si>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</si>
  <si>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</si>
  <si>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</si>
  <si>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</si>
  <si>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</si>
  <si>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</si>
  <si>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</si>
  <si>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</si>
  <si>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</si>
  <si>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</si>
  <si>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</si>
  <si>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</si>
  <si>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</si>
  <si>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</si>
  <si>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</si>
  <si>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</si>
  <si>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</si>
  <si>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</si>
  <si>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</si>
  <si>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</si>
  <si>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</si>
  <si>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</si>
  <si>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</si>
  <si>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</si>
  <si>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</si>
  <si>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</si>
  <si>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</si>
  <si>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</si>
  <si>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</si>
  <si>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</si>
  <si>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</si>
  <si>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</si>
  <si>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</si>
  <si>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</si>
  <si>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</si>
  <si>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</si>
  <si>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</si>
  <si>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</si>
  <si>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</si>
  <si>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</si>
  <si>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</si>
  <si>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</si>
  <si>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</si>
  <si>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</si>
  <si>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</si>
  <si>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</si>
  <si>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</si>
  <si>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</si>
  <si>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</si>
  <si>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</si>
  <si>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</si>
  <si>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</si>
  <si>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</si>
  <si>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</si>
  <si>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</si>
  <si>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</si>
  <si>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</si>
  <si>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</si>
  <si>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</si>
  <si>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</si>
  <si>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</si>
  <si>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</si>
  <si>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</si>
  <si>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</si>
  <si>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</si>
  <si>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</si>
  <si>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</si>
  <si>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</si>
  <si>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</si>
  <si>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</si>
  <si>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</si>
  <si>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</si>
  <si>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</si>
  <si>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</si>
  <si>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</si>
  <si>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</si>
  <si>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</si>
  <si>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</si>
  <si>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</si>
  <si>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</si>
  <si>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</si>
  <si>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</si>
  <si>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</si>
  <si>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</si>
  <si>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</si>
  <si>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</si>
  <si>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</si>
  <si>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</si>
  <si>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</si>
  <si>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</si>
  <si>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</si>
  <si>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</si>
  <si>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</si>
  <si>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</si>
  <si>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</si>
  <si>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</si>
  <si>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</si>
  <si>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</si>
  <si>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</si>
  <si>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</si>
  <si>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</si>
  <si>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</si>
  <si>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</si>
  <si>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</si>
  <si>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</si>
  <si>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</si>
  <si>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</si>
  <si>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</si>
  <si>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</si>
  <si>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</si>
  <si>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</si>
  <si>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</si>
  <si>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</si>
  <si>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</si>
  <si>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</si>
  <si>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</si>
  <si>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</si>
  <si>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</si>
  <si>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</si>
  <si>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</si>
  <si>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</si>
  <si>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</si>
  <si>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</si>
  <si>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</si>
  <si>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</si>
  <si>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</si>
  <si>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</si>
  <si>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</si>
  <si>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</si>
  <si>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</si>
  <si>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</si>
  <si>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</si>
  <si>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</si>
  <si>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</si>
  <si>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</si>
  <si>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</si>
  <si>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</si>
  <si>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</si>
  <si>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</si>
  <si>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</si>
  <si>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</si>
  <si>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</si>
  <si>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</si>
  <si>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</si>
  <si>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</si>
  <si>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</si>
  <si>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</si>
  <si>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</si>
  <si>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</si>
  <si>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</si>
  <si>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</si>
  <si>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</si>
  <si>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</si>
  <si>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</si>
  <si>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</si>
  <si>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</si>
  <si>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</si>
  <si>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</si>
  <si>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</si>
  <si>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</si>
  <si>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</si>
  <si>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</si>
  <si>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</si>
  <si>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</si>
  <si>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</si>
  <si>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</si>
  <si>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</si>
  <si>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</si>
  <si>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</si>
  <si>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</si>
  <si>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</si>
  <si>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</si>
  <si>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</si>
  <si>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</si>
  <si>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</si>
  <si>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</si>
  <si>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</si>
  <si>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</si>
  <si>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</si>
  <si>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</si>
  <si>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</si>
  <si>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</si>
  <si>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</si>
  <si>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</si>
  <si>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</si>
  <si>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</si>
  <si>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</si>
  <si>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</si>
  <si>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</si>
  <si>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</si>
  <si>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</si>
  <si>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</si>
  <si>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</si>
  <si>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</si>
  <si>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</si>
  <si>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</si>
  <si>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</si>
  <si>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</si>
  <si>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</si>
  <si>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</si>
  <si>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</si>
  <si>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</si>
  <si>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</si>
  <si>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</si>
  <si>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</si>
  <si>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</si>
  <si>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</si>
  <si>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</si>
  <si>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</si>
  <si>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</si>
  <si>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</si>
  <si>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</si>
  <si>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</si>
  <si>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</si>
  <si>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</si>
  <si>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</si>
  <si>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</si>
  <si>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</si>
  <si>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</si>
  <si>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</si>
  <si>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</si>
  <si>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</si>
  <si>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</si>
  <si>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</si>
  <si>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</si>
  <si>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</si>
  <si>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</si>
  <si>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</si>
  <si>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</si>
  <si>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</si>
  <si>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</si>
  <si>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</si>
  <si>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</si>
  <si>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</si>
  <si>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</si>
  <si>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</si>
  <si>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</si>
  <si>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</si>
  <si>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</si>
  <si>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</si>
  <si>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</si>
  <si>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</si>
  <si>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</si>
  <si>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</si>
  <si>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</si>
  <si>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</si>
  <si>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</si>
  <si>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</si>
  <si>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</si>
  <si>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</si>
  <si>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</si>
  <si>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</si>
  <si>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</si>
  <si>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</si>
  <si>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</si>
  <si>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</si>
  <si>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</si>
  <si>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</si>
  <si>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</si>
  <si>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</si>
  <si>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</si>
  <si>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</si>
  <si>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</si>
  <si>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</si>
  <si>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</si>
  <si>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</si>
  <si>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</si>
  <si>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</si>
  <si>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</si>
  <si>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</si>
  <si>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</si>
  <si>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</si>
  <si>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</si>
  <si>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</si>
  <si>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</si>
  <si>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</si>
  <si>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</si>
  <si>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</si>
  <si>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</si>
  <si>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</si>
  <si>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</si>
  <si>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</si>
  <si>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</si>
  <si>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</si>
  <si>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</si>
  <si>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</si>
  <si>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</si>
  <si>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</si>
  <si>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</si>
  <si>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</si>
  <si>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</si>
  <si>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</si>
  <si>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</si>
  <si>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</si>
  <si>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</si>
  <si>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</si>
  <si>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</si>
  <si>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</si>
  <si>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</si>
  <si>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</si>
  <si>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</si>
  <si>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</si>
  <si>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</si>
  <si>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</si>
  <si>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</si>
  <si>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</si>
  <si>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</si>
  <si>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</si>
  <si>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</si>
  <si>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</si>
  <si>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</si>
  <si>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</si>
  <si>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</si>
  <si>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</si>
  <si>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</si>
  <si>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</si>
  <si>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</si>
  <si>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</si>
  <si>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</si>
  <si>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</si>
  <si>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</si>
  <si>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</si>
  <si>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</si>
  <si>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</si>
  <si>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</si>
  <si>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</si>
  <si>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</si>
  <si>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</si>
  <si>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</si>
  <si>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</si>
  <si>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</si>
  <si>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</si>
  <si>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</si>
  <si>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</si>
  <si>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</si>
  <si>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</si>
  <si>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</si>
  <si>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</si>
  <si>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</si>
  <si>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</si>
  <si>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</si>
  <si>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</si>
  <si>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</si>
  <si>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</si>
  <si>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</si>
  <si>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</si>
  <si>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</si>
  <si>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</si>
  <si>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</si>
  <si>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</si>
  <si>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</si>
  <si>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</si>
  <si>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</si>
  <si>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</si>
  <si>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</si>
  <si>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</si>
  <si>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</si>
  <si>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</si>
  <si>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</si>
  <si>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</si>
  <si>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</si>
  <si>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</si>
  <si>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</si>
  <si>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</si>
  <si>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</si>
  <si>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</si>
  <si>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</si>
  <si>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</si>
  <si>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</si>
  <si>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</si>
  <si>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</si>
  <si>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</si>
  <si>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</si>
  <si>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</si>
  <si>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</si>
  <si>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</si>
  <si>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</si>
  <si>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</si>
  <si>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</si>
  <si>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</si>
  <si>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</si>
  <si>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</si>
  <si>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</si>
  <si>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</si>
  <si>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</si>
  <si>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</si>
  <si>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</si>
  <si>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</si>
  <si>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</si>
  <si>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</si>
  <si>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</si>
  <si>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</si>
  <si>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</si>
  <si>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</si>
  <si>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</si>
  <si>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</si>
  <si>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</si>
  <si>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</si>
  <si>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</si>
  <si>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</si>
  <si>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</si>
  <si>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</si>
  <si>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</si>
  <si>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</si>
  <si>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</si>
  <si>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</si>
  <si>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</si>
  <si>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</si>
  <si>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</si>
  <si>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</si>
  <si>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</si>
  <si>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</si>
  <si>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</si>
  <si>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</si>
  <si>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</si>
  <si>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</si>
  <si>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</si>
  <si>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</si>
  <si>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</si>
  <si>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</si>
  <si>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</si>
  <si>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</si>
  <si>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</si>
  <si>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</si>
  <si>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</si>
  <si>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</si>
  <si>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</si>
  <si>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</si>
  <si>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</si>
  <si>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</si>
  <si>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</si>
  <si>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</si>
  <si>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</si>
  <si>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</si>
  <si>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</si>
  <si>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</si>
  <si>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</si>
  <si>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</si>
  <si>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</si>
  <si>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</si>
  <si>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</si>
  <si>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</si>
  <si>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</si>
  <si>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</si>
  <si>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</si>
  <si>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</si>
  <si>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</si>
  <si>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</si>
  <si>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</si>
  <si>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</si>
  <si>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</si>
  <si>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</si>
  <si>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</si>
  <si>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</si>
  <si>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</si>
  <si>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</si>
  <si>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</si>
  <si>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</si>
  <si>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</si>
  <si>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</si>
  <si>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</si>
  <si>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</si>
  <si>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</si>
  <si>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</si>
  <si>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</si>
  <si>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</si>
  <si>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</si>
  <si>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</si>
  <si>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</si>
  <si>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</si>
  <si>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</si>
  <si>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</si>
  <si>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</si>
  <si>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</si>
  <si>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</si>
  <si>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</si>
  <si>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</si>
  <si>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</si>
  <si>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</si>
  <si>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</si>
  <si>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</si>
  <si>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</si>
  <si>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</si>
  <si>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</si>
  <si>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</si>
  <si>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</si>
  <si>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</si>
  <si>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</si>
  <si>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</si>
  <si>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</si>
  <si>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</si>
  <si>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</si>
  <si>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</si>
  <si>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</si>
  <si>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</si>
  <si>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</si>
  <si>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</si>
  <si>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</si>
  <si>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</si>
  <si>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</si>
  <si>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</si>
  <si>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</si>
  <si>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</si>
  <si>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</si>
  <si>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</si>
  <si>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</si>
  <si>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</si>
  <si>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</si>
  <si>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</si>
  <si>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</si>
  <si>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</si>
  <si>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</si>
  <si>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</si>
  <si>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</si>
  <si>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</si>
  <si>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</si>
  <si>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</si>
  <si>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</si>
  <si>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</si>
  <si>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</si>
  <si>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</si>
  <si>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</si>
  <si>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</si>
  <si>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</si>
  <si>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</si>
  <si>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</si>
  <si>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</si>
  <si>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</si>
  <si>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</si>
  <si>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</si>
  <si>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</si>
  <si>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</si>
  <si>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</si>
  <si>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</si>
  <si>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</si>
  <si>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</si>
  <si>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</si>
  <si>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</si>
  <si>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</si>
  <si>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</si>
  <si>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</si>
  <si>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</si>
  <si>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</si>
  <si>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</si>
  <si>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</si>
  <si>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</si>
  <si>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</si>
  <si>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</si>
  <si>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</si>
  <si>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</si>
  <si>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</si>
  <si>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</si>
  <si>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</si>
  <si>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</si>
  <si>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</si>
  <si>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</si>
  <si>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</si>
  <si>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</si>
  <si>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</si>
  <si>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</si>
  <si>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</si>
  <si>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</si>
  <si>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</si>
  <si>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</si>
  <si>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</si>
  <si>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</si>
  <si>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</si>
  <si>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</si>
  <si>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</si>
  <si>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</si>
  <si>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</si>
  <si>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</si>
  <si>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</si>
  <si>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</si>
  <si>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</si>
  <si>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</si>
  <si>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</si>
  <si>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</si>
  <si>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</si>
  <si>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</si>
  <si>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</si>
  <si>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</si>
  <si>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</si>
  <si>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</si>
  <si>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</si>
  <si>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</si>
  <si>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</si>
  <si>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</si>
  <si>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</si>
  <si>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</si>
  <si>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</si>
  <si>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</si>
  <si>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</si>
  <si>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</si>
  <si>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</si>
  <si>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</si>
  <si>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</si>
  <si>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</si>
  <si>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</si>
  <si>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</si>
  <si>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</si>
  <si>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</si>
  <si>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</si>
  <si>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</si>
  <si>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</si>
  <si>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</si>
  <si>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</si>
  <si>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</si>
  <si>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</si>
  <si>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</si>
  <si>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</si>
  <si>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</si>
  <si>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</si>
  <si>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</si>
  <si>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</si>
  <si>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</si>
  <si>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</si>
  <si>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</si>
  <si>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</si>
  <si>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</si>
  <si>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</si>
  <si>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</si>
  <si>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</si>
  <si>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</si>
  <si>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</si>
  <si>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</si>
  <si>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</si>
  <si>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</si>
  <si>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</si>
  <si>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</si>
  <si>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</si>
  <si>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</si>
  <si>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</si>
  <si>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</si>
  <si>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</si>
  <si>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</si>
  <si>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</si>
  <si>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</si>
  <si>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</si>
  <si>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</si>
  <si>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</si>
  <si>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</si>
  <si>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</si>
  <si>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</si>
  <si>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</si>
  <si>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</si>
  <si>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</si>
  <si>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</si>
  <si>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</si>
  <si>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</si>
  <si>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</si>
  <si>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</si>
  <si>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</si>
  <si>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</si>
  <si>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</si>
  <si>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</si>
  <si>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</si>
  <si>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</si>
  <si>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</si>
  <si>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</si>
  <si>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</si>
  <si>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</si>
  <si>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</si>
  <si>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</si>
  <si>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</si>
  <si>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</si>
  <si>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</si>
  <si>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</si>
  <si>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</si>
  <si>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</si>
  <si>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</si>
  <si>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</si>
  <si>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</si>
  <si>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</si>
  <si>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</si>
  <si>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</si>
  <si>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</si>
  <si>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</si>
  <si>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</si>
  <si>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</si>
  <si>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</si>
  <si>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</si>
  <si>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</si>
  <si>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</si>
  <si>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</si>
  <si>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</si>
  <si>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</si>
  <si>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</si>
  <si>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</si>
  <si>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</si>
  <si>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</si>
  <si>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</si>
  <si>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</si>
  <si>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</si>
  <si>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</si>
  <si>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</si>
  <si>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</si>
  <si>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</si>
  <si>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</si>
  <si>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</si>
  <si>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</si>
  <si>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</si>
  <si>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</si>
  <si>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</si>
  <si>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</si>
  <si>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</si>
  <si>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</si>
  <si>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</si>
  <si>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</si>
  <si>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</si>
  <si>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</si>
  <si>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</si>
  <si>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</si>
  <si>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</si>
  <si>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</si>
  <si>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</si>
  <si>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</si>
  <si>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</si>
  <si>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</si>
  <si>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</si>
  <si>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</si>
  <si>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</si>
  <si>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</si>
  <si>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</si>
  <si>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</si>
  <si>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</si>
  <si>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</si>
  <si>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</si>
  <si>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</si>
  <si>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</si>
  <si>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</si>
  <si>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</si>
  <si>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</si>
  <si>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</si>
  <si>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</si>
  <si>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</si>
  <si>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</si>
  <si>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</si>
  <si>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</si>
  <si>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</si>
  <si>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</si>
  <si>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</si>
  <si>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</si>
  <si>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</si>
  <si>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</si>
  <si>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</si>
  <si>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</si>
  <si>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</si>
  <si>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</si>
  <si>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</si>
  <si>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</si>
  <si>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</si>
  <si>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</si>
  <si>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</si>
  <si>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</si>
  <si>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</si>
  <si>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</si>
  <si>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</si>
  <si>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</si>
  <si>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</si>
  <si>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</si>
  <si>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</si>
  <si>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</si>
  <si>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</si>
  <si>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</si>
  <si>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</si>
  <si>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</si>
  <si>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</si>
  <si>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</si>
  <si>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</si>
  <si>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</si>
  <si>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</si>
  <si>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</si>
  <si>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</si>
  <si>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</si>
  <si>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</si>
  <si>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</si>
  <si>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</si>
  <si>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</si>
  <si>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</si>
  <si>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</si>
  <si>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</si>
  <si>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</si>
  <si>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</si>
  <si>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</si>
  <si>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</si>
  <si>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</si>
  <si>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</si>
  <si>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</si>
  <si>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</si>
  <si>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</si>
  <si>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</si>
  <si>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</si>
  <si>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</si>
  <si>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</si>
  <si>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</si>
  <si>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</si>
  <si>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</si>
  <si>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</si>
  <si>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</si>
  <si>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</si>
  <si>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</si>
  <si>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</si>
  <si>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</si>
  <si>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</si>
  <si>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</si>
  <si>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</si>
  <si>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</si>
  <si>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</si>
  <si>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</si>
  <si>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</si>
  <si>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</si>
  <si>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</si>
  <si>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</si>
  <si>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</si>
  <si>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</si>
  <si>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</si>
  <si>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</si>
  <si>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</si>
  <si>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</si>
  <si>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</si>
  <si>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</si>
  <si>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</si>
  <si>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</si>
  <si>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</si>
  <si>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</si>
  <si>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</si>
  <si>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</si>
  <si>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</si>
  <si>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</si>
  <si>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</si>
  <si>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</si>
  <si>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</si>
  <si>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</si>
  <si>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</si>
  <si>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</si>
  <si>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</si>
  <si>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</si>
  <si>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</si>
  <si>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</si>
  <si>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</si>
  <si>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</si>
  <si>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</si>
  <si>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</si>
  <si>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</si>
  <si>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</si>
  <si>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</si>
  <si>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</si>
  <si>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</si>
  <si>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</si>
  <si>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</si>
  <si>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</si>
  <si>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</si>
  <si>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</si>
  <si>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</si>
  <si>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</si>
  <si>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</si>
  <si>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</si>
  <si>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</si>
  <si>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</si>
  <si>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</si>
  <si>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</si>
  <si>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</si>
  <si>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</si>
  <si>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</si>
  <si>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</si>
  <si>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</si>
  <si>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</si>
  <si>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</si>
  <si>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</si>
  <si>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</si>
  <si>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</si>
  <si>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</si>
  <si>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</si>
  <si>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</si>
  <si>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</si>
  <si>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</si>
  <si>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</si>
  <si>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</si>
  <si>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</si>
  <si>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</si>
  <si>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</si>
  <si>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</si>
  <si>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</si>
  <si>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</si>
  <si>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</si>
  <si>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</si>
  <si>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</si>
  <si>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</si>
  <si>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</si>
  <si>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</si>
  <si>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</si>
  <si>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</si>
  <si>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</si>
  <si>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</si>
  <si>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</si>
  <si>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</si>
  <si>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</si>
  <si>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</si>
  <si>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</si>
  <si>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</si>
  <si>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</si>
  <si>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</si>
  <si>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</si>
  <si>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</si>
  <si>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</si>
  <si>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</si>
  <si>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</si>
  <si>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</si>
  <si>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</si>
  <si>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</si>
  <si>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</si>
  <si>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</si>
  <si>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</si>
  <si>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</si>
  <si>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</si>
  <si>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</si>
  <si>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</si>
  <si>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</si>
  <si>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</si>
  <si>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</si>
  <si>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</si>
  <si>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</si>
  <si>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</si>
  <si>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</si>
  <si>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</si>
  <si>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</si>
  <si>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</si>
  <si>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</si>
  <si>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</si>
  <si>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</si>
  <si>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</si>
  <si>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</si>
  <si>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</si>
  <si>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</si>
  <si>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</si>
  <si>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</si>
  <si>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</si>
  <si>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</si>
  <si>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</si>
  <si>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</si>
  <si>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</si>
  <si>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</si>
  <si>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</si>
  <si>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</si>
  <si>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</si>
  <si>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</si>
  <si>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</si>
  <si>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</si>
  <si>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</si>
  <si>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</si>
  <si>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</si>
  <si>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</si>
  <si>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</si>
  <si>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</si>
  <si>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</si>
  <si>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</si>
  <si>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</si>
  <si>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</si>
  <si>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</si>
  <si>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</si>
  <si>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</si>
  <si>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</si>
  <si>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</si>
  <si>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</si>
  <si>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</si>
  <si>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</si>
  <si>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</si>
  <si>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</si>
  <si>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</si>
  <si>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</si>
  <si>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</si>
  <si>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</si>
  <si>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</si>
  <si>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</si>
  <si>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</si>
  <si>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</si>
  <si>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</si>
  <si>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</si>
  <si>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</si>
  <si>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</si>
  <si>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</si>
  <si>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</si>
  <si>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</si>
  <si>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</si>
  <si>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</si>
  <si>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</si>
  <si>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</si>
  <si>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</si>
  <si>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</si>
  <si>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</si>
  <si>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</si>
  <si>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</si>
  <si>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</si>
  <si>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</si>
  <si>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</si>
  <si>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</si>
  <si>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</si>
  <si>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</si>
  <si>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</si>
  <si>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</si>
  <si>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</si>
  <si>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</si>
  <si>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</si>
  <si>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</si>
  <si>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</si>
  <si>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</si>
  <si>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</si>
  <si>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</si>
  <si>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</si>
  <si>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</si>
  <si>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</si>
  <si>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</si>
  <si>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</si>
  <si>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</si>
  <si>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</si>
  <si>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</si>
  <si>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</si>
  <si>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</si>
  <si>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</si>
  <si>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</si>
  <si>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</si>
  <si>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</si>
  <si>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</si>
  <si>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</si>
  <si>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</si>
  <si>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</si>
  <si>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</si>
  <si>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</si>
  <si>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</si>
  <si>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</si>
  <si>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</si>
  <si>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</si>
  <si>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</si>
  <si>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</si>
  <si>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</si>
  <si>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</si>
  <si>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</si>
  <si>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</si>
  <si>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</si>
  <si>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</si>
  <si>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</si>
  <si>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</si>
  <si>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</si>
  <si>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</si>
  <si>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</si>
  <si>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</si>
  <si>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</si>
  <si>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</si>
  <si>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</si>
  <si>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</si>
  <si>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</si>
  <si>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</si>
  <si>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</si>
  <si>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</si>
  <si>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</si>
  <si>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</si>
  <si>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</si>
  <si>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</si>
  <si>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</si>
  <si>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</si>
  <si>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</si>
  <si>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</si>
  <si>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</si>
  <si>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</si>
  <si>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</si>
  <si>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</si>
  <si>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</si>
  <si>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</si>
  <si>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</si>
  <si>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</si>
  <si>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</si>
  <si>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</si>
  <si>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</si>
  <si>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</si>
  <si>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</si>
  <si>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</si>
  <si>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</si>
  <si>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</si>
  <si>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</si>
  <si>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</si>
  <si>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</si>
  <si>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</si>
  <si>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</si>
  <si>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</si>
  <si>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</si>
  <si>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</si>
  <si>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</si>
  <si>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</si>
  <si>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</si>
  <si>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</si>
  <si>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</si>
  <si>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</si>
  <si>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</si>
  <si>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</si>
  <si>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</si>
  <si>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</si>
  <si>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</si>
  <si>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</si>
  <si>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</si>
  <si>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</si>
  <si>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</si>
  <si>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</si>
  <si>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</si>
  <si>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</si>
  <si>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</si>
  <si>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</si>
  <si>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</si>
  <si>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</si>
  <si>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</si>
  <si>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</si>
  <si>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</si>
  <si>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</si>
  <si>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</si>
  <si>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</si>
  <si>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</si>
  <si>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</si>
  <si>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</si>
  <si>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</si>
  <si>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</si>
  <si>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</si>
  <si>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</si>
  <si>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</si>
  <si>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</si>
  <si>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</si>
  <si>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</si>
  <si>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</si>
  <si>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</si>
  <si>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</si>
  <si>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</si>
  <si>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</si>
  <si>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</si>
  <si>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</si>
  <si>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</si>
  <si>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</si>
  <si>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</si>
  <si>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</si>
  <si>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</si>
  <si>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</si>
  <si>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</si>
  <si>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</si>
  <si>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</si>
  <si>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</si>
  <si>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</si>
  <si>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</si>
  <si>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</si>
  <si>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</si>
  <si>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</si>
  <si>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</si>
  <si>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</si>
  <si>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</si>
  <si>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</si>
  <si>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</si>
  <si>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</si>
  <si>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</si>
  <si>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</si>
  <si>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</si>
  <si>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</si>
  <si>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</si>
  <si>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</si>
  <si>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</si>
  <si>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</si>
  <si>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</si>
  <si>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</si>
  <si>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</si>
  <si>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</si>
  <si>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</si>
  <si>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</si>
  <si>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</si>
  <si>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</si>
  <si>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</si>
  <si>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</si>
  <si>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</si>
  <si>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</si>
  <si>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</si>
  <si>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</si>
  <si>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</si>
  <si>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</si>
  <si>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</si>
  <si>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</si>
  <si>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</si>
  <si>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</si>
  <si>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</si>
  <si>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</si>
  <si>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</si>
  <si>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</si>
  <si>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</si>
  <si>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</si>
  <si>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</si>
  <si>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</si>
  <si>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</si>
  <si>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</si>
  <si>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</si>
  <si>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</si>
  <si>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</si>
  <si>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</si>
  <si>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</si>
  <si>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</si>
  <si>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</si>
  <si>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</si>
  <si>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</si>
  <si>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</si>
  <si>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</si>
  <si>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</si>
  <si>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</si>
  <si>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</si>
  <si>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</si>
  <si>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</si>
  <si>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</si>
  <si>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</si>
  <si>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</si>
  <si>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</si>
  <si>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</si>
  <si>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</si>
  <si>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</si>
  <si>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</si>
  <si>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</si>
  <si>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</si>
  <si>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</si>
  <si>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</si>
  <si>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</si>
  <si>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</si>
  <si>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</si>
  <si>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</si>
  <si>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</si>
  <si>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</si>
  <si>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</si>
  <si>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</si>
  <si>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</si>
  <si>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</si>
  <si>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</si>
  <si>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</si>
  <si>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</si>
  <si>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</si>
  <si>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</si>
  <si>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</si>
  <si>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</si>
  <si>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</si>
  <si>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</si>
  <si>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</si>
  <si>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</si>
  <si>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</si>
  <si>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</si>
  <si>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</si>
  <si>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</si>
  <si>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</si>
  <si>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</si>
  <si>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</si>
  <si>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</si>
  <si>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</si>
  <si>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</si>
  <si>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</si>
  <si>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</si>
  <si>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</si>
  <si>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</si>
  <si>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</si>
  <si>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</si>
  <si>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</si>
  <si>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</si>
  <si>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</si>
  <si>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</si>
  <si>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</si>
  <si>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</si>
  <si>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</si>
  <si>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</si>
  <si>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</si>
  <si>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</si>
  <si>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</si>
  <si>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</si>
  <si>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</si>
  <si>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</si>
  <si>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</si>
  <si>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</si>
  <si>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</si>
  <si>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</si>
  <si>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</si>
  <si>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</si>
  <si>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</si>
  <si>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</si>
  <si>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</si>
  <si>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</si>
  <si>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</si>
  <si>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</si>
  <si>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</si>
  <si>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</si>
  <si>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</si>
  <si>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</si>
  <si>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</si>
  <si>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</si>
  <si>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</si>
  <si>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</si>
  <si>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</si>
  <si>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</si>
  <si>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</si>
  <si>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</si>
  <si>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</si>
  <si>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</si>
  <si>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</si>
  <si>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</si>
  <si>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</si>
  <si>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</si>
  <si>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</si>
  <si>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</si>
  <si>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</si>
  <si>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</si>
  <si>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</si>
  <si>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</si>
  <si>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</si>
  <si>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</si>
  <si>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</si>
  <si>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</si>
  <si>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</si>
  <si>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</si>
  <si>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</si>
  <si>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</si>
  <si>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</si>
  <si>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</si>
  <si>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</si>
  <si>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</si>
  <si>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</si>
  <si>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</si>
  <si>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</si>
  <si>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</si>
  <si>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</si>
  <si>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</si>
  <si>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</si>
  <si>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</si>
  <si>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</si>
  <si>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</si>
  <si>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</si>
  <si>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</si>
  <si>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</si>
  <si>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</si>
  <si>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</si>
  <si>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</si>
  <si>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</si>
  <si>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</si>
  <si>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</si>
  <si>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</si>
  <si>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</si>
  <si>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</si>
  <si>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</si>
  <si>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</si>
  <si>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</si>
  <si>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</si>
  <si>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</si>
  <si>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</si>
  <si>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</si>
  <si>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</si>
  <si>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</si>
  <si>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</si>
  <si>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</si>
  <si>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</si>
  <si>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</si>
  <si>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</si>
  <si>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</si>
  <si>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</si>
  <si>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</si>
  <si>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</si>
  <si>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</si>
  <si>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</si>
  <si>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</si>
  <si>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</si>
  <si>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</si>
  <si>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</si>
  <si>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</si>
  <si>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</si>
  <si>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</si>
  <si>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</si>
  <si>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</si>
  <si>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</si>
  <si>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</si>
  <si>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</si>
  <si>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</si>
  <si>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</si>
  <si>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</si>
  <si>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</si>
  <si>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</si>
  <si>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</si>
  <si>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</si>
  <si>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</si>
  <si>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</si>
  <si>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</si>
  <si>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</si>
  <si>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</si>
  <si>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</si>
  <si>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</si>
  <si>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</si>
  <si>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</si>
  <si>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</si>
  <si>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</si>
  <si>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</si>
  <si>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</si>
  <si>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</si>
  <si>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</si>
  <si>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</si>
  <si>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</si>
  <si>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</si>
  <si>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</si>
  <si>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</si>
  <si>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</si>
  <si>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</si>
  <si>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</si>
  <si>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</si>
  <si>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</si>
  <si>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</si>
  <si>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</si>
  <si>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</si>
  <si>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</si>
  <si>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</si>
  <si>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</si>
  <si>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</si>
  <si>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</si>
  <si>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</si>
  <si>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</si>
  <si>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</si>
  <si>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</si>
  <si>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</si>
  <si>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</si>
  <si>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</si>
  <si>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</si>
  <si>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</si>
  <si>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</si>
  <si>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</si>
  <si>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</si>
  <si>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</si>
  <si>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</si>
  <si>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</si>
  <si>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</si>
  <si>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</si>
  <si>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</si>
  <si>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</si>
  <si>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</si>
  <si>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</si>
  <si>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</si>
  <si>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</si>
  <si>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</si>
  <si>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</si>
  <si>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</si>
  <si>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</si>
  <si>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</si>
  <si>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</si>
  <si>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</si>
  <si>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</si>
  <si>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</si>
  <si>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</si>
  <si>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</si>
  <si>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</si>
  <si>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</si>
  <si>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</si>
  <si>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</si>
  <si>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</si>
  <si>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</si>
  <si>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</si>
  <si>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</si>
  <si>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</si>
  <si>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</si>
  <si>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</si>
  <si>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</si>
  <si>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</si>
  <si>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</si>
  <si>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</si>
  <si>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</si>
  <si>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</si>
  <si>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</si>
  <si>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</si>
  <si>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</si>
  <si>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</si>
  <si>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</si>
  <si>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</si>
  <si>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</si>
  <si>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</si>
  <si>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</si>
  <si>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</si>
  <si>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</si>
  <si>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</si>
  <si>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</si>
  <si>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</si>
  <si>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</si>
  <si>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</si>
  <si>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</si>
  <si>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</si>
  <si>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</si>
  <si>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</si>
  <si>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</si>
  <si>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</si>
  <si>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</si>
  <si>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</si>
  <si>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</si>
  <si>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</si>
  <si>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</si>
  <si>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</si>
  <si>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</si>
  <si>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</si>
  <si>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</si>
  <si>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</si>
  <si>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</si>
  <si>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</si>
  <si>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</si>
  <si>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</si>
  <si>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</si>
  <si>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</si>
  <si>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</si>
  <si>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</si>
  <si>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</si>
  <si>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</si>
  <si>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</si>
  <si>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</si>
  <si>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</si>
  <si>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</si>
  <si>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</si>
  <si>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</si>
  <si>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</si>
  <si>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</si>
  <si>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</si>
  <si>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</si>
  <si>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</si>
  <si>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</si>
  <si>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</si>
  <si>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</si>
  <si>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</si>
  <si>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</si>
  <si>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</si>
  <si>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</si>
  <si>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</si>
  <si>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</si>
  <si>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</si>
  <si>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</si>
  <si>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</si>
  <si>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</si>
  <si>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</si>
  <si>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</si>
  <si>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</si>
  <si>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</si>
  <si>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</si>
  <si>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</si>
  <si>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</si>
  <si>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</si>
  <si>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</si>
  <si>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</si>
  <si>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</si>
  <si>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</si>
  <si>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</si>
  <si>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</si>
  <si>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</si>
  <si>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</si>
  <si>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</si>
  <si>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</si>
  <si>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</si>
  <si>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</si>
  <si>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</si>
  <si>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</si>
  <si>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</si>
  <si>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</si>
  <si>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</si>
  <si>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</si>
  <si>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</si>
  <si>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</si>
  <si>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</si>
  <si>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</si>
  <si>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</si>
  <si>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</si>
  <si>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</si>
  <si>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</si>
  <si>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</si>
  <si>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</si>
  <si>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</si>
  <si>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</si>
  <si>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</si>
  <si>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</si>
  <si>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</si>
  <si>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</si>
  <si>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</si>
  <si>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</si>
  <si>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</si>
  <si>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</si>
  <si>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</si>
  <si>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</si>
  <si>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</si>
  <si>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</si>
  <si>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</si>
  <si>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</si>
  <si>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</si>
  <si>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</si>
  <si>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</si>
  <si>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</si>
  <si>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</si>
  <si>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</si>
  <si>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</si>
  <si>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</si>
  <si>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</si>
  <si>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</si>
  <si>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</si>
  <si>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</si>
  <si>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</si>
  <si>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</si>
  <si>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</si>
  <si>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</si>
  <si>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</si>
  <si>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</si>
  <si>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</si>
  <si>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</si>
  <si>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</si>
  <si>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</si>
  <si>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</si>
  <si>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</si>
  <si>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</si>
  <si>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</si>
  <si>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</si>
  <si>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</si>
  <si>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</si>
  <si>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</si>
  <si>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</si>
  <si>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</si>
  <si>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</si>
  <si>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</si>
  <si>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</si>
  <si>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</si>
  <si>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</si>
  <si>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</si>
  <si>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</si>
  <si>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</si>
  <si>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</si>
  <si>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</si>
  <si>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</si>
  <si>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</si>
  <si>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</si>
  <si>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</si>
  <si>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</si>
  <si>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</si>
  <si>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</si>
  <si>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</si>
  <si>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</si>
  <si>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</si>
  <si>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</si>
  <si>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</si>
  <si>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</si>
  <si>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</si>
  <si>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</si>
  <si>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</si>
  <si>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</si>
  <si>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</si>
  <si>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</si>
  <si>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</si>
  <si>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</si>
  <si>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</si>
  <si>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</si>
  <si>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</si>
  <si>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</si>
  <si>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</si>
  <si>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</si>
  <si>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</si>
  <si>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</si>
  <si>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</si>
  <si>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</si>
  <si>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</si>
  <si>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</si>
  <si>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</si>
  <si>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</si>
  <si>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</si>
  <si>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</si>
  <si>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</si>
  <si>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</si>
  <si>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</si>
  <si>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</si>
  <si>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</si>
  <si>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</si>
  <si>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</si>
  <si>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</si>
  <si>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</si>
  <si>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</si>
  <si>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</si>
  <si>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</si>
  <si>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</si>
  <si>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</si>
  <si>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</si>
  <si>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</si>
  <si>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</si>
  <si>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</si>
  <si>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</si>
  <si>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</si>
  <si>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</si>
  <si>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</si>
  <si>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</si>
  <si>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</si>
  <si>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</si>
  <si>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</si>
  <si>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</si>
  <si>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</si>
  <si>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</si>
  <si>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</si>
  <si>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</si>
  <si>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</si>
  <si>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</si>
  <si>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</si>
  <si>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</si>
  <si>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</si>
  <si>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</si>
  <si>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</si>
  <si>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</si>
  <si>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</si>
  <si>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</si>
  <si>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</si>
  <si>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</si>
  <si>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</si>
  <si>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</si>
  <si>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</si>
  <si>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</si>
  <si>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</si>
  <si>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</si>
  <si>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</si>
  <si>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</si>
  <si>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</si>
  <si>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</si>
  <si>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</si>
  <si>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</si>
  <si>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</si>
  <si>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</si>
  <si>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</si>
  <si>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</si>
  <si>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</si>
  <si>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</si>
  <si>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</si>
  <si>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</si>
  <si>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</si>
  <si>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</si>
  <si>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</si>
  <si>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</si>
  <si>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</si>
  <si>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</si>
  <si>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</si>
  <si>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</si>
  <si>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</si>
  <si>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</si>
  <si>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</si>
  <si>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</si>
  <si>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</si>
  <si>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</si>
  <si>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</si>
  <si>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</si>
  <si>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</si>
  <si>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</si>
  <si>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</si>
  <si>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</si>
  <si>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</si>
  <si>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</si>
  <si>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</si>
  <si>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</si>
  <si>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</si>
  <si>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</si>
  <si>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</si>
  <si>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</si>
  <si>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</si>
  <si>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</si>
  <si>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</si>
  <si>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</si>
  <si>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</si>
  <si>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</si>
  <si>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</si>
  <si>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</si>
  <si>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</si>
  <si>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</si>
  <si>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</si>
  <si>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</si>
  <si>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</si>
  <si>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</si>
  <si>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</si>
  <si>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</si>
  <si>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</si>
  <si>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</si>
  <si>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</si>
  <si>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</si>
  <si>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</si>
  <si>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</si>
  <si>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</si>
  <si>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</si>
  <si>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</si>
  <si>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</si>
  <si>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</si>
  <si>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</si>
  <si>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</si>
  <si>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</si>
  <si>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</si>
  <si>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</si>
  <si>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</si>
  <si>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</si>
  <si>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</si>
  <si>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</si>
  <si>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</si>
  <si>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</si>
  <si>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</si>
  <si>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</si>
  <si>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</si>
  <si>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</si>
  <si>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</si>
  <si>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</si>
  <si>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</si>
  <si>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</si>
  <si>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</si>
  <si>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</si>
  <si>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</si>
  <si>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</si>
  <si>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</si>
  <si>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</si>
  <si>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</si>
  <si>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</si>
  <si>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</si>
  <si>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</si>
  <si>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</si>
  <si>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</si>
  <si>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</si>
  <si>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</si>
  <si>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</si>
  <si>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</si>
  <si>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</si>
  <si>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</si>
  <si>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</si>
  <si>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</si>
  <si>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</si>
  <si>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</si>
  <si>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</si>
  <si>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</si>
  <si>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</si>
  <si>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</si>
  <si>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</si>
  <si>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</si>
  <si>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</si>
  <si>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</si>
  <si>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</si>
  <si>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</si>
  <si>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</si>
  <si>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</si>
  <si>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</si>
  <si>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</si>
  <si>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</si>
  <si>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</si>
  <si>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</si>
  <si>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</si>
  <si>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</si>
  <si>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</si>
  <si>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</si>
  <si>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</si>
  <si>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</si>
  <si>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</si>
  <si>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</si>
  <si>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</si>
  <si>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</si>
  <si>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</si>
  <si>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</si>
  <si>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</si>
  <si>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</si>
  <si>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</si>
  <si>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</si>
  <si>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</si>
  <si>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</si>
  <si>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</si>
  <si>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</si>
  <si>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</si>
  <si>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</si>
  <si>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</si>
  <si>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</si>
  <si>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</si>
  <si>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</si>
  <si>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</si>
  <si>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</si>
  <si>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</si>
  <si>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</si>
  <si>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</si>
  <si>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</si>
  <si>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</si>
  <si>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</si>
  <si>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</si>
  <si>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</si>
  <si>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</si>
  <si>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</si>
  <si>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</si>
  <si>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</si>
  <si>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</si>
  <si>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</si>
  <si>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</si>
  <si>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</si>
  <si>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</si>
  <si>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</si>
  <si>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</si>
  <si>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</si>
  <si>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</si>
  <si>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</si>
  <si>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</si>
  <si>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</si>
  <si>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</si>
  <si>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</si>
  <si>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</si>
  <si>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</si>
  <si>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</si>
  <si>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</si>
  <si>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</si>
  <si>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</si>
  <si>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</si>
  <si>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</si>
  <si>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</si>
  <si>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</si>
  <si>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</si>
  <si>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</si>
  <si>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</si>
  <si>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</si>
  <si>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</si>
  <si>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</si>
  <si>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</si>
  <si>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</si>
  <si>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</si>
  <si>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</si>
  <si>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</si>
  <si>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</si>
  <si>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</si>
  <si>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</si>
  <si>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</si>
  <si>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</si>
  <si>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</si>
  <si>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</si>
  <si>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</si>
  <si>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</si>
  <si>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</si>
  <si>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</si>
  <si>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</si>
  <si>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</si>
  <si>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</si>
  <si>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</si>
  <si>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</si>
  <si>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</si>
  <si>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</si>
  <si>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</si>
  <si>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</si>
  <si>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</si>
  <si>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</si>
  <si>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</si>
  <si>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</si>
  <si>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</si>
  <si>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</si>
  <si>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</si>
  <si>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</si>
  <si>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</si>
  <si>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</si>
  <si>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</si>
  <si>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</si>
  <si>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</si>
  <si>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</si>
  <si>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</si>
  <si>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</si>
  <si>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</si>
  <si>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</si>
  <si>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</si>
  <si>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</si>
  <si>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</si>
  <si>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</si>
  <si>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</si>
  <si>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</si>
  <si>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</si>
  <si>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</si>
  <si>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</si>
  <si>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</si>
  <si>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</si>
  <si>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</si>
  <si>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</si>
  <si>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</si>
  <si>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</si>
  <si>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</si>
  <si>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</si>
  <si>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</si>
  <si>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</si>
  <si>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</si>
  <si>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</si>
  <si>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</si>
  <si>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</si>
  <si>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</si>
  <si>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</si>
  <si>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</si>
  <si>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</si>
  <si>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</si>
  <si>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</si>
  <si>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</si>
  <si>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</si>
  <si>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</si>
  <si>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</si>
  <si>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</si>
  <si>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</si>
  <si>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</si>
  <si>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</si>
  <si>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</si>
  <si>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</si>
  <si>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</si>
  <si>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</si>
  <si>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</si>
  <si>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</si>
  <si>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</si>
  <si>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</si>
  <si>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</si>
  <si>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</si>
  <si>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</si>
  <si>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</si>
  <si>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</si>
  <si>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</si>
  <si>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</si>
  <si>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</si>
  <si>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</si>
  <si>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</si>
  <si>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</si>
  <si>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</si>
  <si>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</si>
  <si>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</si>
  <si>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</si>
  <si>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</si>
  <si>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</si>
  <si>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</si>
  <si>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</si>
  <si>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</si>
  <si>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</si>
  <si>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</si>
  <si>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</si>
  <si>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</si>
  <si>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</si>
  <si>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</si>
  <si>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</si>
  <si>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</si>
  <si>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</si>
  <si>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</si>
  <si>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</si>
  <si>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</si>
  <si>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</si>
  <si>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</si>
  <si>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</si>
  <si>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</si>
  <si>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</si>
  <si>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</si>
  <si>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</si>
  <si>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</si>
  <si>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</si>
  <si>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</si>
  <si>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</si>
  <si>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</si>
  <si>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</si>
  <si>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</si>
  <si>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</si>
  <si>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</si>
  <si>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</si>
  <si>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</si>
  <si>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</si>
  <si>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</si>
  <si>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</si>
  <si>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</si>
  <si>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</si>
  <si>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</si>
  <si>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</si>
  <si>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</si>
  <si>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</si>
  <si>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</si>
  <si>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</si>
  <si>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</si>
  <si>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</si>
  <si>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</si>
  <si>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</si>
  <si>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</si>
  <si>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</si>
  <si>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</si>
  <si>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</si>
  <si>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</si>
  <si>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</si>
  <si>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</si>
  <si>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</si>
  <si>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</si>
  <si>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</si>
  <si>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</si>
  <si>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</si>
  <si>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</si>
  <si>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</si>
  <si>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</si>
  <si>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</si>
  <si>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</si>
  <si>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</si>
  <si>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</si>
  <si>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</si>
  <si>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</si>
  <si>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</si>
  <si>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</si>
  <si>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</si>
  <si>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</si>
  <si>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</si>
  <si>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</si>
  <si>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</si>
  <si>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</si>
  <si>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</si>
  <si>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</si>
  <si>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</si>
  <si>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</si>
  <si>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</si>
  <si>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</si>
  <si>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</si>
  <si>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</si>
  <si>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</si>
  <si>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</si>
  <si>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</si>
  <si>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</si>
  <si>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</si>
  <si>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</si>
  <si>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</si>
  <si>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</si>
  <si>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</si>
  <si>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</si>
  <si>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</si>
  <si>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</si>
  <si>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</si>
  <si>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</si>
  <si>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</si>
  <si>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</si>
  <si>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</si>
  <si>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</si>
  <si>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</si>
  <si>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</si>
  <si>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</si>
  <si>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</si>
  <si>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</si>
  <si>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</si>
  <si>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</si>
  <si>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</si>
  <si>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</si>
  <si>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</si>
  <si>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</si>
  <si>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</si>
  <si>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</si>
  <si>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</si>
  <si>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</si>
  <si>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</si>
  <si>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</si>
  <si>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</si>
  <si>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</si>
  <si>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</si>
  <si>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</si>
  <si>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</si>
  <si>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</si>
  <si>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</si>
  <si>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</si>
  <si>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</si>
  <si>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</si>
  <si>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</si>
  <si>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</si>
  <si>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</si>
  <si>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</si>
  <si>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</si>
  <si>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</si>
  <si>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</si>
  <si>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</si>
  <si>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</si>
  <si>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</si>
  <si>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</si>
  <si>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</si>
  <si>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</si>
  <si>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</si>
  <si>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</si>
  <si>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</si>
  <si>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</si>
  <si>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</si>
  <si>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</si>
  <si>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</si>
  <si>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</si>
  <si>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</si>
  <si>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</si>
  <si>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</si>
  <si>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</si>
  <si>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</si>
  <si>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</si>
  <si>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</si>
  <si>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</si>
  <si>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</si>
  <si>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</si>
  <si>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</si>
  <si>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</si>
  <si>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</si>
  <si>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</si>
  <si>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</si>
  <si>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</si>
  <si>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</si>
  <si>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</si>
  <si>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</si>
  <si>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</si>
  <si>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</si>
  <si>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</si>
  <si>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</si>
  <si>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</si>
  <si>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</si>
  <si>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</si>
  <si>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</si>
  <si>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</si>
  <si>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</si>
  <si>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</si>
  <si>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</si>
  <si>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</si>
  <si>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</si>
  <si>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</si>
  <si>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</si>
  <si>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</si>
  <si>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</si>
  <si>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</si>
  <si>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</si>
  <si>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</si>
  <si>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</si>
  <si>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</si>
  <si>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</si>
  <si>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</si>
  <si>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</si>
  <si>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</si>
  <si>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</si>
  <si>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</si>
  <si>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</si>
  <si>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</si>
  <si>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</si>
  <si>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</si>
  <si>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</si>
  <si>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</si>
  <si>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</si>
  <si>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</si>
  <si>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</si>
  <si>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</si>
  <si>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</si>
  <si>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</si>
  <si>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</si>
  <si>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</si>
  <si>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</si>
  <si>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</si>
  <si>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</si>
  <si>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</si>
  <si>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</si>
  <si>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</si>
  <si>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</si>
  <si>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</si>
  <si>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</si>
  <si>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</si>
  <si>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</si>
  <si>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</si>
  <si>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</si>
  <si>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</si>
  <si>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</si>
  <si>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</si>
  <si>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</si>
  <si>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</si>
  <si>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</si>
  <si>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</si>
  <si>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</si>
  <si>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</si>
  <si>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</si>
  <si>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</si>
  <si>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</si>
  <si>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</si>
  <si>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</si>
  <si>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</si>
  <si>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</si>
  <si>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</si>
  <si>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</si>
  <si>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</si>
  <si>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</si>
  <si>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</si>
  <si>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</si>
  <si>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</si>
  <si>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</si>
  <si>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</si>
  <si>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</si>
  <si>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</si>
  <si>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</si>
  <si>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</si>
  <si>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</si>
  <si>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</si>
  <si>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</si>
  <si>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</si>
  <si>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</si>
  <si>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</si>
  <si>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</si>
  <si>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</si>
  <si>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</si>
  <si>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</si>
  <si>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</si>
  <si>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</si>
  <si>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</si>
  <si>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</si>
  <si>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</si>
  <si>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</si>
  <si>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</si>
  <si>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</si>
  <si>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</si>
  <si>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</si>
  <si>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</si>
  <si>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</si>
  <si>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</si>
  <si>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</si>
  <si>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</si>
  <si>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</si>
  <si>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</si>
  <si>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</si>
  <si>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</si>
  <si>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</si>
  <si>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</si>
  <si>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</si>
  <si>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</si>
  <si>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</si>
  <si>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</si>
  <si>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</si>
  <si>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</si>
  <si>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</si>
  <si>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</si>
  <si>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</si>
  <si>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</si>
  <si>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</si>
  <si>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</si>
  <si>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</si>
  <si>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</si>
  <si>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</si>
  <si>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</si>
  <si>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</si>
  <si>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</si>
  <si>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</si>
  <si>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</si>
  <si>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</si>
  <si>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</si>
  <si>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</si>
  <si>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</si>
  <si>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</si>
  <si>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</si>
  <si>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</si>
  <si>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</si>
  <si>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</si>
  <si>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</si>
  <si>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</si>
  <si>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</si>
  <si>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</si>
  <si>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</si>
  <si>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</si>
  <si>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</si>
  <si>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</si>
  <si>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</si>
  <si>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</si>
  <si>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</si>
  <si>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</si>
  <si>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</si>
  <si>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</si>
  <si>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</si>
  <si>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</si>
  <si>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</si>
  <si>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</si>
  <si>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</si>
  <si>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</si>
  <si>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</si>
  <si>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</si>
  <si>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</si>
  <si>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</si>
  <si>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</si>
  <si>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</si>
  <si>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</si>
  <si>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</si>
  <si>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</si>
  <si>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</si>
  <si>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</si>
  <si>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</si>
  <si>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</si>
  <si>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</si>
  <si>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</si>
  <si>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</si>
  <si>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</si>
  <si>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</si>
  <si>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</si>
  <si>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</si>
  <si>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</si>
  <si>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</si>
  <si>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</si>
  <si>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</si>
  <si>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</si>
  <si>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</si>
  <si>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</si>
  <si>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</si>
  <si>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</si>
  <si>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</si>
  <si>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</si>
  <si>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</si>
  <si>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</si>
  <si>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</si>
  <si>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</si>
  <si>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</si>
  <si>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</si>
  <si>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</si>
  <si>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</si>
  <si>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</si>
  <si>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</si>
  <si>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</si>
  <si>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</si>
  <si>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</si>
  <si>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</si>
  <si>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</si>
  <si>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</si>
  <si>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</si>
  <si>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</si>
  <si>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</si>
  <si>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</si>
  <si>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</si>
  <si>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</si>
  <si>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</si>
  <si>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</si>
  <si>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</si>
  <si>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</si>
  <si>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</si>
  <si>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</si>
  <si>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</si>
  <si>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</si>
  <si>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</si>
  <si>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</si>
  <si>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</si>
  <si>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</si>
  <si>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</si>
  <si>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</si>
  <si>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</si>
  <si>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</si>
  <si>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</si>
  <si>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</si>
  <si>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</si>
  <si>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</si>
  <si>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</si>
  <si>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</si>
  <si>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</si>
  <si>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</si>
  <si>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</si>
  <si>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</si>
  <si>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</si>
  <si>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</si>
  <si>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</si>
  <si>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</si>
  <si>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</si>
  <si>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</si>
  <si>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</si>
  <si>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</si>
  <si>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</si>
  <si>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</si>
  <si>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</si>
  <si>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</si>
  <si>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</si>
  <si>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</si>
  <si>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</si>
  <si>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</si>
  <si>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</si>
  <si>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</si>
  <si>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</si>
  <si>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</si>
  <si>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</si>
  <si>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</si>
  <si>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</si>
  <si>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</si>
  <si>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</si>
  <si>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</si>
  <si>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</si>
  <si>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</si>
  <si>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</si>
  <si>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</si>
  <si>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</si>
  <si>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</si>
  <si>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</si>
  <si>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</si>
  <si>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</si>
  <si>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</si>
  <si>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</si>
  <si>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</si>
  <si>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</si>
  <si>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</si>
  <si>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</si>
  <si>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</si>
  <si>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</si>
  <si>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</si>
  <si>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</si>
  <si>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</si>
  <si>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</si>
  <si>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</si>
  <si>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</si>
  <si>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</si>
  <si>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</si>
  <si>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</si>
  <si>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</si>
  <si>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</si>
  <si>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</si>
  <si>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</si>
  <si>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</si>
  <si>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</si>
  <si>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</si>
  <si>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</si>
  <si>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</si>
  <si>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</si>
  <si>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</si>
  <si>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</si>
  <si>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</si>
  <si>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</si>
  <si>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</si>
  <si>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</si>
  <si>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</si>
  <si>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</si>
  <si>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</si>
  <si>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</si>
  <si>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</si>
  <si>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</si>
  <si>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</si>
  <si>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</si>
  <si>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</si>
  <si>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</si>
  <si>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</si>
  <si>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</si>
  <si>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</si>
  <si>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</si>
  <si>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</si>
  <si>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</si>
  <si>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</si>
  <si>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</si>
  <si>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</si>
  <si>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</si>
  <si>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</si>
  <si>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</si>
  <si>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</si>
  <si>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</si>
  <si>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</si>
  <si>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</si>
  <si>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</si>
  <si>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</si>
  <si>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</si>
  <si>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</si>
  <si>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</si>
  <si>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</si>
  <si>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</si>
  <si>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</si>
  <si>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</si>
  <si>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</si>
  <si>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</si>
  <si>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</si>
  <si>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</si>
  <si>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</si>
  <si>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</si>
  <si>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</si>
  <si>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</si>
  <si>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</si>
  <si>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</si>
  <si>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</si>
  <si>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</si>
  <si>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</si>
  <si>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</si>
  <si>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</si>
  <si>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</si>
  <si>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</si>
  <si>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</si>
  <si>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</si>
  <si>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</si>
  <si>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</si>
  <si>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</si>
  <si>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</si>
  <si>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</si>
  <si>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</si>
  <si>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</si>
  <si>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</si>
  <si>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</si>
  <si>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</si>
  <si>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</si>
  <si>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</si>
  <si>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</si>
  <si>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</si>
  <si>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</si>
  <si>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</si>
  <si>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</si>
  <si>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</si>
  <si>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</si>
  <si>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</si>
  <si>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</si>
  <si>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</si>
  <si>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</si>
  <si>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</si>
  <si>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</si>
  <si>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</si>
  <si>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</si>
  <si>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</si>
  <si>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</si>
  <si>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</si>
  <si>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</si>
  <si>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</si>
  <si>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</si>
  <si>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</si>
  <si>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</si>
  <si>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</si>
  <si>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</si>
  <si>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</si>
  <si>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</si>
  <si>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</si>
  <si>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</si>
  <si>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</si>
  <si>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</si>
  <si>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</si>
  <si>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</si>
  <si>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</si>
  <si>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</si>
  <si>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</si>
  <si>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</si>
  <si>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</si>
  <si>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</si>
  <si>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</si>
  <si>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</si>
  <si>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</si>
  <si>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</si>
  <si>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</si>
  <si>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</si>
  <si>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</si>
  <si>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</si>
  <si>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</si>
  <si>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</si>
  <si>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</si>
  <si>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</si>
  <si>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</si>
  <si>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</si>
  <si>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</si>
  <si>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</si>
  <si>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</si>
  <si>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</si>
  <si>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</si>
  <si>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</si>
  <si>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</si>
  <si>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</si>
  <si>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</si>
  <si>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</si>
  <si>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</si>
  <si>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</si>
  <si>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</si>
  <si>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</si>
  <si>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</si>
  <si>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</si>
  <si>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</si>
  <si>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</si>
  <si>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</si>
  <si>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</si>
  <si>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</si>
  <si>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</si>
  <si>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</si>
  <si>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</si>
  <si>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</si>
  <si>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</si>
  <si>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</si>
  <si>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</si>
  <si>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</si>
  <si>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</si>
  <si>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</si>
  <si>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</si>
  <si>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</si>
  <si>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</si>
  <si>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</si>
  <si>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</si>
  <si>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</si>
  <si>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</si>
  <si>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</si>
  <si>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</si>
  <si>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</si>
  <si>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</si>
  <si>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</si>
  <si>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</si>
  <si>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</si>
  <si>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</si>
  <si>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</si>
  <si>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</si>
  <si>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</si>
  <si>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</si>
  <si>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</si>
  <si>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</si>
  <si>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</si>
  <si>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</si>
  <si>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</si>
  <si>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</si>
  <si>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</si>
  <si>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</si>
  <si>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</si>
  <si>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</si>
  <si>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</si>
  <si>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</si>
  <si>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</si>
  <si>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</si>
  <si>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</si>
  <si>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</si>
  <si>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</si>
  <si>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</si>
  <si>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</si>
  <si>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</si>
  <si>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</si>
  <si>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</si>
  <si>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</si>
  <si>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</si>
  <si>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</si>
  <si>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</si>
  <si>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</si>
  <si>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</si>
  <si>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</si>
  <si>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</si>
  <si>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</si>
  <si>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</si>
  <si>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</si>
  <si>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</si>
  <si>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</si>
  <si>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</si>
  <si>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</si>
  <si>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</si>
  <si>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</si>
  <si>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</si>
  <si>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</si>
  <si>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</si>
  <si>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</si>
  <si>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</si>
  <si>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</si>
  <si>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</si>
  <si>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</si>
  <si>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</si>
  <si>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</si>
  <si>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</si>
  <si>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</si>
  <si>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</si>
  <si>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</si>
  <si>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</si>
  <si>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</si>
  <si>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</si>
  <si>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</si>
  <si>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</si>
  <si>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</si>
  <si>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</si>
  <si>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</si>
  <si>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</si>
  <si>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</si>
  <si>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</si>
  <si>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</si>
  <si>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</si>
  <si>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</si>
  <si>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</si>
  <si>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</si>
  <si>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</si>
  <si>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</si>
  <si>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</si>
  <si>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</si>
  <si>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</si>
  <si>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</si>
  <si>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</si>
  <si>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</si>
  <si>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</si>
  <si>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</si>
  <si>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</si>
  <si>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</si>
  <si>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</si>
  <si>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</si>
  <si>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</si>
  <si>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</si>
  <si>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</si>
  <si>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</si>
  <si>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</si>
  <si>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</si>
  <si>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</si>
  <si>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</si>
  <si>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</si>
  <si>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</si>
  <si>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</si>
  <si>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</si>
  <si>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</si>
  <si>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</si>
  <si>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</si>
  <si>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</si>
  <si>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</si>
  <si>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</si>
  <si>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</si>
  <si>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</si>
  <si>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</si>
  <si>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</si>
  <si>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</si>
  <si>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</si>
  <si>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</si>
  <si>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</si>
  <si>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</si>
  <si>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</si>
  <si>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</si>
  <si>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</si>
  <si>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</si>
  <si>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</si>
  <si>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</si>
  <si>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</si>
  <si>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</si>
  <si>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</si>
  <si>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</si>
  <si>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</si>
  <si>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</si>
  <si>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</si>
  <si>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</si>
  <si>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</si>
  <si>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</si>
  <si>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</si>
  <si>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</si>
  <si>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</si>
  <si>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</si>
  <si>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</si>
  <si>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</si>
  <si>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</si>
  <si>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</si>
  <si>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</si>
  <si>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</si>
  <si>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</si>
  <si>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</si>
  <si>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</si>
  <si>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</si>
  <si>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</si>
  <si>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</si>
  <si>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</si>
  <si>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</si>
  <si>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</si>
  <si>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</si>
  <si>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</si>
  <si>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</si>
  <si>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</si>
  <si>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</si>
  <si>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</si>
  <si>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</si>
  <si>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</si>
  <si>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</si>
  <si>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</si>
  <si>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</si>
  <si>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</si>
  <si>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</si>
  <si>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</si>
  <si>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</si>
  <si>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</si>
  <si>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</si>
  <si>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</si>
  <si>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</si>
  <si>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</si>
  <si>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</si>
  <si>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</si>
  <si>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</si>
  <si>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</si>
  <si>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</si>
  <si>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</si>
  <si>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</si>
  <si>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</si>
  <si>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</si>
  <si>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</si>
  <si>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</si>
  <si>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</si>
  <si>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</si>
  <si>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</si>
  <si>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</si>
  <si>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</si>
  <si>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</si>
  <si>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</si>
  <si>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</si>
  <si>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</si>
  <si>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</si>
  <si>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</si>
  <si>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</si>
  <si>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</si>
  <si>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</si>
  <si>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</si>
  <si>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</si>
  <si>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</si>
  <si>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</si>
  <si>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</si>
  <si>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</si>
  <si>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</si>
  <si>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</si>
  <si>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</si>
  <si>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</si>
  <si>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</si>
  <si>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</si>
  <si>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</si>
  <si>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</si>
  <si>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</si>
  <si>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</si>
  <si>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</si>
  <si>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</si>
  <si>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</si>
  <si>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</si>
  <si>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</si>
  <si>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</si>
  <si>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</si>
  <si>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</si>
  <si>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</si>
  <si>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</si>
  <si>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</si>
  <si>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</si>
  <si>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</si>
  <si>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</si>
  <si>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</si>
  <si>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</si>
  <si>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</si>
  <si>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</si>
  <si>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</si>
  <si>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</si>
  <si>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</si>
  <si>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</si>
  <si>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</si>
  <si>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</si>
  <si>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</si>
  <si>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</si>
  <si>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</si>
  <si>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</si>
  <si>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</si>
  <si>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</si>
  <si>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</si>
  <si>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</si>
  <si>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</si>
  <si>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</si>
  <si>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</si>
  <si>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</si>
  <si>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</si>
  <si>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</si>
  <si>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</si>
  <si>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</si>
  <si>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</si>
  <si>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</si>
  <si>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</si>
  <si>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</si>
  <si>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</si>
  <si>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</si>
  <si>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</si>
  <si>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</si>
  <si>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</si>
  <si>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</si>
  <si>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</si>
  <si>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</si>
  <si>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</si>
  <si>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</si>
  <si>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</si>
  <si>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</si>
  <si>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</si>
  <si>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</si>
  <si>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</si>
  <si>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</si>
  <si>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</si>
  <si>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</si>
  <si>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</si>
  <si>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</si>
  <si>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</si>
  <si>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</si>
  <si>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</si>
  <si>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</si>
  <si>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</si>
  <si>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</si>
  <si>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</si>
  <si>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</si>
  <si>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</si>
  <si>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</si>
  <si>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</si>
  <si>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</si>
  <si>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</si>
  <si>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</si>
  <si>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</si>
  <si>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</si>
  <si>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</si>
  <si>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</si>
  <si>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</si>
  <si>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</si>
  <si>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</si>
  <si>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</si>
  <si>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</si>
  <si>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</si>
  <si>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</si>
  <si>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</si>
  <si>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</si>
  <si>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</si>
  <si>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</si>
  <si>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</si>
  <si>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</si>
  <si>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</si>
  <si>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</si>
  <si>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</si>
  <si>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</si>
  <si>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</si>
  <si>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</si>
  <si>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</si>
  <si>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</si>
  <si>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</si>
  <si>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</si>
  <si>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</si>
  <si>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</si>
  <si>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</si>
  <si>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</si>
  <si>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</si>
  <si>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</si>
  <si>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</si>
  <si>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</si>
  <si>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</si>
  <si>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</si>
  <si>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</si>
  <si>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</si>
  <si>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</si>
  <si>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</si>
  <si>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</si>
  <si>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</si>
  <si>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</si>
  <si>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</si>
  <si>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</si>
  <si>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</si>
  <si>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</si>
  <si>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</si>
  <si>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</si>
  <si>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</si>
  <si>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</si>
  <si>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</si>
  <si>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</si>
  <si>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</si>
  <si>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</si>
  <si>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</si>
  <si>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</si>
  <si>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</si>
  <si>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</si>
  <si>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</si>
  <si>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</si>
  <si>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</si>
  <si>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</si>
  <si>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</si>
  <si>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</si>
  <si>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</si>
  <si>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</si>
  <si>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</si>
  <si>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</si>
  <si>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</si>
  <si>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</si>
  <si>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</si>
  <si>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</si>
  <si>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</si>
  <si>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</si>
  <si>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</si>
  <si>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</si>
  <si>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</si>
  <si>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</si>
  <si>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</si>
  <si>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</si>
  <si>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</si>
  <si>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</si>
  <si>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</si>
  <si>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</si>
  <si>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</si>
  <si>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</si>
  <si>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</si>
  <si>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</si>
  <si>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</si>
  <si>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</si>
  <si>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</si>
  <si>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</si>
  <si>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</si>
  <si>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</si>
  <si>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</si>
  <si>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</si>
  <si>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</si>
  <si>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</si>
  <si>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</si>
  <si>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</si>
  <si>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</si>
  <si>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</si>
  <si>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</si>
  <si>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</si>
  <si>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</si>
  <si>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</si>
  <si>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</si>
  <si>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</si>
  <si>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</si>
  <si>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</si>
  <si>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</si>
  <si>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</si>
  <si>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</si>
  <si>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</si>
  <si>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</si>
  <si>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</si>
  <si>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</si>
  <si>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</si>
  <si>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</si>
  <si>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</si>
  <si>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</si>
  <si>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</si>
  <si>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</si>
  <si>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</si>
  <si>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</si>
  <si>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</si>
  <si>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</si>
  <si>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</si>
  <si>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</si>
  <si>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</si>
  <si>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</si>
  <si>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</si>
  <si>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</si>
  <si>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</si>
  <si>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</si>
  <si>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</si>
  <si>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</si>
  <si>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</si>
  <si>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</si>
  <si>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</si>
  <si>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</si>
  <si>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</si>
  <si>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</si>
  <si>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</si>
  <si>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</si>
  <si>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</si>
  <si>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</si>
  <si>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</si>
  <si>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</si>
  <si>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</si>
  <si>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</si>
  <si>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</si>
  <si>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</si>
  <si>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</si>
  <si>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</si>
  <si>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</si>
  <si>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</si>
  <si>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</si>
  <si>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</si>
  <si>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</si>
  <si>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</si>
  <si>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</si>
  <si>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</si>
  <si>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</si>
  <si>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</si>
  <si>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</si>
  <si>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</si>
  <si>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</si>
  <si>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</si>
  <si>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</si>
  <si>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</si>
  <si>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</si>
  <si>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</si>
  <si>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</si>
  <si>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</si>
  <si>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</si>
  <si>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</si>
  <si>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</si>
  <si>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</si>
  <si>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</si>
  <si>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</si>
  <si>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</si>
  <si>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</si>
  <si>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</si>
  <si>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</si>
  <si>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</si>
  <si>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</si>
  <si>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</si>
  <si>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</si>
  <si>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</si>
  <si>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</si>
  <si>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</si>
  <si>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</si>
  <si>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</si>
  <si>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</si>
  <si>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</si>
  <si>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</si>
  <si>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</si>
  <si>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</si>
  <si>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</si>
  <si>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</si>
  <si>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</si>
  <si>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</si>
  <si>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</si>
  <si>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</si>
  <si>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</si>
  <si>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</si>
  <si>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</si>
  <si>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</si>
  <si>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</si>
  <si>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</si>
  <si>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</si>
  <si>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</si>
  <si>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</si>
  <si>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</si>
  <si>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</si>
  <si>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</si>
  <si>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</si>
  <si>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</si>
  <si>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</si>
  <si>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</si>
  <si>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</si>
  <si>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</si>
  <si>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</si>
  <si>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</si>
  <si>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</si>
  <si>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</si>
  <si>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</si>
  <si>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</si>
  <si>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</si>
  <si>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</si>
  <si>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</si>
  <si>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</si>
  <si>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</si>
  <si>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</si>
  <si>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</si>
  <si>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</si>
  <si>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</si>
  <si>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</si>
  <si>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</si>
  <si>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</si>
  <si>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</si>
  <si>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</si>
  <si>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</si>
  <si>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</si>
  <si>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</si>
  <si>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</si>
  <si>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</si>
  <si>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</si>
  <si>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</si>
  <si>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</si>
  <si>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</si>
  <si>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</si>
  <si>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</si>
  <si>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</si>
  <si>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</si>
  <si>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</si>
  <si>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</si>
  <si>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</si>
  <si>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</si>
  <si>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</si>
  <si>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</si>
  <si>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</si>
  <si>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</si>
  <si>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</si>
  <si>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</si>
  <si>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</si>
  <si>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</si>
  <si>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</si>
  <si>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</si>
  <si>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</si>
  <si>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</si>
  <si>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</si>
  <si>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</si>
  <si>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</si>
  <si>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</si>
  <si>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</si>
  <si>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</si>
  <si>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</si>
  <si>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</si>
  <si>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</si>
  <si>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</si>
  <si>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</si>
  <si>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</si>
  <si>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</si>
  <si>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</si>
  <si>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</si>
  <si>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</si>
  <si>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</si>
  <si>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</si>
  <si>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</si>
  <si>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</si>
  <si>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</si>
  <si>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</si>
  <si>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</si>
  <si>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</si>
  <si>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</si>
  <si>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</si>
  <si>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</si>
  <si>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</si>
  <si>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</si>
  <si>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</si>
  <si>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</si>
  <si>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</si>
  <si>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</si>
  <si>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</si>
  <si>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</si>
  <si>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</si>
  <si>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</si>
  <si>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</si>
  <si>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</si>
  <si>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</si>
  <si>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</si>
  <si>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</si>
  <si>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</si>
  <si>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</si>
  <si>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</si>
  <si>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</si>
  <si>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</si>
  <si>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</si>
  <si>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</si>
  <si>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</si>
  <si>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</si>
  <si>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</si>
  <si>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</si>
  <si>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</si>
  <si>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</si>
  <si>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</si>
  <si>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</si>
  <si>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</si>
  <si>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</si>
  <si>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</si>
  <si>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</si>
  <si>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</si>
  <si>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</si>
  <si>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</si>
  <si>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</si>
  <si>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</si>
  <si>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</si>
  <si>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</si>
  <si>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</si>
  <si>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</si>
  <si>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</si>
  <si>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</si>
  <si>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</si>
  <si>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</si>
  <si>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</si>
  <si>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</si>
  <si>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</si>
  <si>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</si>
  <si>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</si>
  <si>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</si>
  <si>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</si>
  <si>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</si>
  <si>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</si>
  <si>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</si>
  <si>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</si>
  <si>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</si>
  <si>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</si>
  <si>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</si>
  <si>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</si>
  <si>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</si>
  <si>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</si>
  <si>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</si>
  <si>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</si>
  <si>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</si>
  <si>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</si>
  <si>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</si>
  <si>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</si>
  <si>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</si>
  <si>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</si>
  <si>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</si>
  <si>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</si>
  <si>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</si>
  <si>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</si>
  <si>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</si>
  <si>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</si>
  <si>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</si>
  <si>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</si>
  <si>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</si>
  <si>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</si>
  <si>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</si>
  <si>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</si>
  <si>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</si>
  <si>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</si>
  <si>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</si>
  <si>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</si>
  <si>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</si>
  <si>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</si>
  <si>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</si>
  <si>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</si>
  <si>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</si>
  <si>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</si>
  <si>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</si>
  <si>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</si>
  <si>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</si>
  <si>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</si>
  <si>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</si>
  <si>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</si>
  <si>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</si>
  <si>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</si>
  <si>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</si>
  <si>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</si>
  <si>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</si>
  <si>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</si>
  <si>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</si>
  <si>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</si>
  <si>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</si>
  <si>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</si>
  <si>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</si>
  <si>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</si>
  <si>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</si>
  <si>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</si>
  <si>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</si>
  <si>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</si>
  <si>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</si>
  <si>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</si>
  <si>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</si>
  <si>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</si>
  <si>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</si>
  <si>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</si>
  <si>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</si>
  <si>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</si>
  <si>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</si>
  <si>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</si>
  <si>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</si>
  <si>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</si>
  <si>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</si>
  <si>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</si>
  <si>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</si>
  <si>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</si>
  <si>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</si>
  <si>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</si>
  <si>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</si>
  <si>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</si>
  <si>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</si>
  <si>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</si>
  <si>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</si>
  <si>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</si>
  <si>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</si>
  <si>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</si>
  <si>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</si>
  <si>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</si>
  <si>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</si>
  <si>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</si>
  <si>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</si>
  <si>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</si>
  <si>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</si>
  <si>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</si>
  <si>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</si>
  <si>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</si>
  <si>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</si>
  <si>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</si>
  <si>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</si>
  <si>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</si>
  <si>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</si>
  <si>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</si>
  <si>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</si>
  <si>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</si>
  <si>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</si>
  <si>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</si>
  <si>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</si>
  <si>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</si>
  <si>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</si>
  <si>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</si>
  <si>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</si>
  <si>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</si>
  <si>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</si>
  <si>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</si>
  <si>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</si>
  <si>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</si>
  <si>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</si>
  <si>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</si>
  <si>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</si>
  <si>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</si>
  <si>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</si>
  <si>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</si>
  <si>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</si>
  <si>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</si>
  <si>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</si>
  <si>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</si>
  <si>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</si>
  <si>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</si>
  <si>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</si>
  <si>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</si>
  <si>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</si>
  <si>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</si>
  <si>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</si>
  <si>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</si>
  <si>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</si>
  <si>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</si>
  <si>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</si>
  <si>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</si>
  <si>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</si>
  <si>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</si>
  <si>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</si>
  <si>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</si>
  <si>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</si>
  <si>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</si>
  <si>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</si>
  <si>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</si>
  <si>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</si>
  <si>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</si>
  <si>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</si>
  <si>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</si>
  <si>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</si>
  <si>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</si>
  <si>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</si>
  <si>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</si>
  <si>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</si>
  <si>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</si>
  <si>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</si>
  <si>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</si>
  <si>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</si>
  <si>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</si>
  <si>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</si>
  <si>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</si>
  <si>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</si>
  <si>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</si>
  <si>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</si>
  <si>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</si>
  <si>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</si>
  <si>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</si>
  <si>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</si>
  <si>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</si>
  <si>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</si>
  <si>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</si>
  <si>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</si>
  <si>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</si>
  <si>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</si>
  <si>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</si>
  <si>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</si>
  <si>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</si>
  <si>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</si>
  <si>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</si>
  <si>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</si>
  <si>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</si>
  <si>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</si>
  <si>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</si>
  <si>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</si>
  <si>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</si>
  <si>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</si>
  <si>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</si>
  <si>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</si>
  <si>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</si>
  <si>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</si>
  <si>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</si>
  <si>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</si>
  <si>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</si>
  <si>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</si>
  <si>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</si>
  <si>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</si>
  <si>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</si>
  <si>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</si>
  <si>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</si>
  <si>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</si>
  <si>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</si>
  <si>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</si>
  <si>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</si>
  <si>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</si>
  <si>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</si>
  <si>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</si>
  <si>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</si>
  <si>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</si>
  <si>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</si>
  <si>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</si>
  <si>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</si>
  <si>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</si>
  <si>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</si>
  <si>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</si>
  <si>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</si>
  <si>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</si>
  <si>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</si>
  <si>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</si>
  <si>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</si>
  <si>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</si>
  <si>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</si>
  <si>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</si>
  <si>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</si>
  <si>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</si>
  <si>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</si>
  <si>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</si>
  <si>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</si>
  <si>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</si>
  <si>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</si>
  <si>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</si>
  <si>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</si>
  <si>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</si>
  <si>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</si>
  <si>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</si>
  <si>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</si>
  <si>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</si>
  <si>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</si>
  <si>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</si>
  <si>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</si>
  <si>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</si>
  <si>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</si>
  <si>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</si>
  <si>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</si>
  <si>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</si>
  <si>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</si>
  <si>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</si>
  <si>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</si>
  <si>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</si>
  <si>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</si>
  <si>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</si>
  <si>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</si>
  <si>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</si>
  <si>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</si>
  <si>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</si>
  <si>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</si>
  <si>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</si>
  <si>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</si>
  <si>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</si>
  <si>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</si>
  <si>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</si>
  <si>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</si>
  <si>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</si>
  <si>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</si>
  <si>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</si>
  <si>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</si>
  <si>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</si>
  <si>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</si>
  <si>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</si>
  <si>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</si>
  <si>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</si>
  <si>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</si>
  <si>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</si>
  <si>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</si>
  <si>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</si>
  <si>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</si>
  <si>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</si>
  <si>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</si>
  <si>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</si>
  <si>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</si>
  <si>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</si>
  <si>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</si>
  <si>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</si>
  <si>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</si>
  <si>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</si>
  <si>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</si>
  <si>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</si>
  <si>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</si>
  <si>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</si>
  <si>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</si>
  <si>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</si>
  <si>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</si>
  <si>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</si>
  <si>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</si>
  <si>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</si>
  <si>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</si>
  <si>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</si>
  <si>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</si>
  <si>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</si>
  <si>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</si>
  <si>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</si>
  <si>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</si>
  <si>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</si>
  <si>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</si>
  <si>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</si>
  <si>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</si>
  <si>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</si>
  <si>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</si>
  <si>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</si>
  <si>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</si>
  <si>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</si>
  <si>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</si>
  <si>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</si>
  <si>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</si>
  <si>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</si>
  <si>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</si>
  <si>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</si>
  <si>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</si>
  <si>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</si>
  <si>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</si>
  <si>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</si>
  <si>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</si>
  <si>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</si>
  <si>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</si>
  <si>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</si>
  <si>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</si>
  <si>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</si>
  <si>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</si>
  <si>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</si>
  <si>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</si>
  <si>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</si>
  <si>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</si>
  <si>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</si>
  <si>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</si>
  <si>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</si>
  <si>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</si>
  <si>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</si>
  <si>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</si>
  <si>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</si>
  <si>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</si>
  <si>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</si>
  <si>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</si>
  <si>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</si>
  <si>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</si>
  <si>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</si>
  <si>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</si>
  <si>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</si>
  <si>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</si>
  <si>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</si>
  <si>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</si>
  <si>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</si>
  <si>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</si>
  <si>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</si>
  <si>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</si>
  <si>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</si>
  <si>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</si>
  <si>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</si>
  <si>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</si>
  <si>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</si>
  <si>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</si>
  <si>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</si>
  <si>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</si>
  <si>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</si>
  <si>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</si>
  <si>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</si>
  <si>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</si>
  <si>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</si>
  <si>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</si>
  <si>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</si>
  <si>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</si>
  <si>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</si>
  <si>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</si>
  <si>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</si>
  <si>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</si>
  <si>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</si>
  <si>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</si>
  <si>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</si>
  <si>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</si>
  <si>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</si>
  <si>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</si>
  <si>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</si>
  <si>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</si>
  <si>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</si>
  <si>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</si>
  <si>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</si>
  <si>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</si>
  <si>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</si>
  <si>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</si>
  <si>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</si>
  <si>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</si>
  <si>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</si>
  <si>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</si>
  <si>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</si>
  <si>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</si>
  <si>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</si>
  <si>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</si>
  <si>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</si>
  <si>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</si>
  <si>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</si>
  <si>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</si>
  <si>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</si>
  <si>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</si>
  <si>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</si>
  <si>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</si>
  <si>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</si>
  <si>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</si>
  <si>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</si>
  <si>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</si>
  <si>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</si>
  <si>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</si>
  <si>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</si>
  <si>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</si>
  <si>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</si>
  <si>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</si>
  <si>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</si>
  <si>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</si>
  <si>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</si>
  <si>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</si>
  <si>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</si>
  <si>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</si>
  <si>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</si>
  <si>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</si>
  <si>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</si>
  <si>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</si>
  <si>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</si>
  <si>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</si>
  <si>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</si>
  <si>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</si>
  <si>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</si>
  <si>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</si>
  <si>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</si>
  <si>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</si>
  <si>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</si>
  <si>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</si>
  <si>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</si>
  <si>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</si>
  <si>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</si>
  <si>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</si>
  <si>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</si>
  <si>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</si>
  <si>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</si>
  <si>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</si>
  <si>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</si>
  <si>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</si>
  <si>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</si>
  <si>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</si>
  <si>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</si>
  <si>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</si>
  <si>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</si>
  <si>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</si>
  <si>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</si>
  <si>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</si>
  <si>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</si>
  <si>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</si>
  <si>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</si>
  <si>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</si>
  <si>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</si>
  <si>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</si>
  <si>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</si>
  <si>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</si>
  <si>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</si>
  <si>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</si>
  <si>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</si>
  <si>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</si>
  <si>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</si>
  <si>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</si>
  <si>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</si>
  <si>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</si>
  <si>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</si>
  <si>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</si>
  <si>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</si>
  <si>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</si>
  <si>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</si>
  <si>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</si>
  <si>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</si>
  <si>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</si>
  <si>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</si>
  <si>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</si>
  <si>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</si>
  <si>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</si>
  <si>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</si>
  <si>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</si>
  <si>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</si>
  <si>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</si>
  <si>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</si>
  <si>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</si>
  <si>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</si>
  <si>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</si>
  <si>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</si>
  <si>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</si>
  <si>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</si>
  <si>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</si>
  <si>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</si>
  <si>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</si>
  <si>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</si>
  <si>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</si>
  <si>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</si>
  <si>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</si>
  <si>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</si>
  <si>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</si>
  <si>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</si>
  <si>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</si>
  <si>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</si>
  <si>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</si>
  <si>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</si>
  <si>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</si>
  <si>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</si>
  <si>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</si>
  <si>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</si>
  <si>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</si>
  <si>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</si>
  <si>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</si>
  <si>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</si>
  <si>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</si>
  <si>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</si>
  <si>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</si>
  <si>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</si>
  <si>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</si>
  <si>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</si>
  <si>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</si>
  <si>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</si>
  <si>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</si>
  <si>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</si>
  <si>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</si>
  <si>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</si>
  <si>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</si>
  <si>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</si>
  <si>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</si>
  <si>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</si>
  <si>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</si>
  <si>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</si>
  <si>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</si>
  <si>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</si>
  <si>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</si>
  <si>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</si>
  <si>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</si>
  <si>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</si>
  <si>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</si>
  <si>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</si>
  <si>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</si>
  <si>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</si>
  <si>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</si>
  <si>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</si>
  <si>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</si>
  <si>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</si>
  <si>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</si>
  <si>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</si>
  <si>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</si>
  <si>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</si>
  <si>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</si>
  <si>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</si>
  <si>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</si>
  <si>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</si>
  <si>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</si>
  <si>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</si>
  <si>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</si>
  <si>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</si>
  <si>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</si>
  <si>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</si>
  <si>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</si>
  <si>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</si>
  <si>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</si>
  <si>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</si>
  <si>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</si>
  <si>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</si>
  <si>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</si>
  <si>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</si>
  <si>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</si>
  <si>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</si>
  <si>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</si>
  <si>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</si>
  <si>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</si>
  <si>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</si>
  <si>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</si>
  <si>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</si>
  <si>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</si>
  <si>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</si>
  <si>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</si>
  <si>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</si>
  <si>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</si>
  <si>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</si>
  <si>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</si>
  <si>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</si>
  <si>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</si>
  <si>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</si>
  <si>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</si>
  <si>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</si>
  <si>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</si>
  <si>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</si>
  <si>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</si>
  <si>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</si>
  <si>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</si>
  <si>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</si>
  <si>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</si>
  <si>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</si>
  <si>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</si>
  <si>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</si>
  <si>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</si>
  <si>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</si>
  <si>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</si>
  <si>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</si>
  <si>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</si>
  <si>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</si>
  <si>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</si>
  <si>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</si>
  <si>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</si>
  <si>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</si>
  <si>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</si>
  <si>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</si>
  <si>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</si>
  <si>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</si>
  <si>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</si>
  <si>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</si>
  <si>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</si>
  <si>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</si>
  <si>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</si>
  <si>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</si>
  <si>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</si>
  <si>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</si>
  <si>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</si>
  <si>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</si>
  <si>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</si>
  <si>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</si>
  <si>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</si>
  <si>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</si>
  <si>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</si>
  <si>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</si>
  <si>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</si>
  <si>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</si>
  <si>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</si>
  <si>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</si>
  <si>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</si>
  <si>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</si>
  <si>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</si>
  <si>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</si>
  <si>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</si>
  <si>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</si>
  <si>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</si>
  <si>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</si>
  <si>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</si>
  <si>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</si>
  <si>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</si>
  <si>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</si>
  <si>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</si>
  <si>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</si>
  <si>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</si>
  <si>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</si>
  <si>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</si>
  <si>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</si>
  <si>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</si>
  <si>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</si>
  <si>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</si>
  <si>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</si>
  <si>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</si>
  <si>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</si>
  <si>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</si>
  <si>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</si>
  <si>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</si>
  <si>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</si>
  <si>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</si>
  <si>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</si>
  <si>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</si>
  <si>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</si>
  <si>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</si>
  <si>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</si>
  <si>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</si>
  <si>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</si>
  <si>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</si>
  <si>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</si>
  <si>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</si>
  <si>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</si>
  <si>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</si>
  <si>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</si>
  <si>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</si>
  <si>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</si>
  <si>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</si>
  <si>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</si>
  <si>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</si>
  <si>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</si>
  <si>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</si>
  <si>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</si>
  <si>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</si>
  <si>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</si>
  <si>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</si>
  <si>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</si>
  <si>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</si>
  <si>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</si>
  <si>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</si>
  <si>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</si>
  <si>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</si>
  <si>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</si>
  <si>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</si>
  <si>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</si>
  <si>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</si>
  <si>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</si>
  <si>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</si>
  <si>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</si>
  <si>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</si>
  <si>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</si>
  <si>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</si>
  <si>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</si>
  <si>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</si>
  <si>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</si>
  <si>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</si>
  <si>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</si>
  <si>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</si>
  <si>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</si>
  <si>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</si>
  <si>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</si>
  <si>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</si>
  <si>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</si>
  <si>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</si>
  <si>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</si>
  <si>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</si>
  <si>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</si>
  <si>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</si>
  <si>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</si>
  <si>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</si>
  <si>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</si>
  <si>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</si>
  <si>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</si>
  <si>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</si>
  <si>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</si>
  <si>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</si>
  <si>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</si>
  <si>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</si>
  <si>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</si>
  <si>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</si>
  <si>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</si>
  <si>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</si>
  <si>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</si>
  <si>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</si>
  <si>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</si>
  <si>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</si>
  <si>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</si>
  <si>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</si>
  <si>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</si>
  <si>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</si>
  <si>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</si>
  <si>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</si>
  <si>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</si>
  <si>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</si>
  <si>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</si>
  <si>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</si>
  <si>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</si>
  <si>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</si>
  <si>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</si>
  <si>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</si>
  <si>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</si>
  <si>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</si>
  <si>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</si>
  <si>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</si>
  <si>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</si>
  <si>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</si>
  <si>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</si>
  <si>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</si>
  <si>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</si>
  <si>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</si>
  <si>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</si>
  <si>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</si>
  <si>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</si>
  <si>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</si>
  <si>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</si>
  <si>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</si>
  <si>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</si>
  <si>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</si>
  <si>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</si>
  <si>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</si>
  <si>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</si>
  <si>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</si>
  <si>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</si>
  <si>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</si>
  <si>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</si>
  <si>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</si>
  <si>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</si>
  <si>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</si>
  <si>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</si>
  <si>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</si>
  <si>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</si>
  <si>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</si>
  <si>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</si>
  <si>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</si>
  <si>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</si>
  <si>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</si>
  <si>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</si>
  <si>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</si>
  <si>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</si>
  <si>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</si>
  <si>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</si>
  <si>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</si>
  <si>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</si>
  <si>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</si>
  <si>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</si>
  <si>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</si>
  <si>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</si>
  <si>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</si>
  <si>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</si>
  <si>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</si>
  <si>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</si>
  <si>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</si>
  <si>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</si>
  <si>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</si>
  <si>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</si>
  <si>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</si>
  <si>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</si>
  <si>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</si>
  <si>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</si>
  <si>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</si>
  <si>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</si>
  <si>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</si>
  <si>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</si>
  <si>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</si>
  <si>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</si>
  <si>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</si>
  <si>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</si>
  <si>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</si>
  <si>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</si>
  <si>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</si>
  <si>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</si>
  <si>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</si>
  <si>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</si>
  <si>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</si>
  <si>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</si>
  <si>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</si>
  <si>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</si>
  <si>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</si>
  <si>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</si>
  <si>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</si>
  <si>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</si>
  <si>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</si>
  <si>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</si>
  <si>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</si>
  <si>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</si>
  <si>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</si>
  <si>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</si>
  <si>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</si>
  <si>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</si>
  <si>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</si>
  <si>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</si>
  <si>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</si>
  <si>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</si>
  <si>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</si>
  <si>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</si>
  <si>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</si>
  <si>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</si>
  <si>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</si>
  <si>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</si>
  <si>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</si>
  <si>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</si>
  <si>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</si>
  <si>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</si>
  <si>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</si>
  <si>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</si>
  <si>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</si>
  <si>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</si>
  <si>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</si>
  <si>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</si>
  <si>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</si>
  <si>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</si>
  <si>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</si>
  <si>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</si>
  <si>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</si>
  <si>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</si>
  <si>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</si>
  <si>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</si>
  <si>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</si>
  <si>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</si>
  <si>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</si>
  <si>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</si>
  <si>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</si>
  <si>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</si>
  <si>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</si>
  <si>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</si>
  <si>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</si>
  <si>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</si>
  <si>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</si>
  <si>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</si>
  <si>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</si>
  <si>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بدهی بابت اعتبار 20 میلیونی به مهدی 30/9/1399</t>
  </si>
  <si>
    <t>وغدیر 7170 تا 1325</t>
  </si>
  <si>
    <t xml:space="preserve">  </t>
  </si>
  <si>
    <t>1/10/1399</t>
  </si>
  <si>
    <t>وغدیر 483004 تا 1302</t>
  </si>
  <si>
    <t>وغدیر 48654 تا 1275</t>
  </si>
  <si>
    <t>پارس 4570 تا 16220</t>
  </si>
  <si>
    <t>1/10/1400</t>
  </si>
  <si>
    <t>1/10/1401</t>
  </si>
  <si>
    <t>طلب از مهدی 47381 تا وغدیر 1/10/1399</t>
  </si>
  <si>
    <t>مانده فروش زاگرس و خرید وغدیر</t>
  </si>
  <si>
    <t>2/10/1399</t>
  </si>
  <si>
    <t>وغدیر 20399 تا 1250</t>
  </si>
  <si>
    <t>وغدیر در حساب مهدی</t>
  </si>
  <si>
    <t>پارس 17 تا 16200</t>
  </si>
  <si>
    <t>3/10/1399</t>
  </si>
  <si>
    <t>واریز به بورس مهدی</t>
  </si>
  <si>
    <t>پارس 2296 تا 16380</t>
  </si>
  <si>
    <t>6/10/1399</t>
  </si>
  <si>
    <t>وغدیر 3122 تا 1195</t>
  </si>
  <si>
    <t>وغدیر 450 تا 1210</t>
  </si>
  <si>
    <t>7/10/1399</t>
  </si>
  <si>
    <t>پارس 203 تا 16350</t>
  </si>
  <si>
    <t>وغدیر 822229 تا 1285</t>
  </si>
  <si>
    <t>پارس 17 تا 16350</t>
  </si>
  <si>
    <t>مریم از کارت ایلیا 4/10/99</t>
  </si>
  <si>
    <t>طلب از مریم دستی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</si>
</sst>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A15" zoomScaleNormal="100" workbookViewId="0">
      <selection activeCell="M36" sqref="M36"/>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1500</v>
      </c>
      <c r="F10" s="210">
        <f t="shared" si="0"/>
        <v>57.971005394823202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600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5669</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191.13383188041774</v>
      </c>
      <c r="G21" s="210"/>
      <c r="H21" s="210"/>
      <c r="I21" s="210"/>
      <c r="J21" s="210">
        <f>SUM(J2:J19)</f>
        <v>3048.2393469906792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0.40515191210927454</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5629</v>
      </c>
      <c r="P86" s="18">
        <v>-1000000</v>
      </c>
      <c r="Q86" s="97">
        <v>31</v>
      </c>
      <c r="R86" s="97"/>
    </row>
    <row r="87" spans="2:26">
      <c r="O87" s="97" t="s">
        <v>5658</v>
      </c>
      <c r="P87" s="18">
        <v>6000000</v>
      </c>
      <c r="Q87" s="97">
        <v>1</v>
      </c>
      <c r="R87" s="97"/>
      <c r="S87" t="s">
        <v>25</v>
      </c>
    </row>
    <row r="88" spans="2:26">
      <c r="O88" s="97" t="s">
        <v>5659</v>
      </c>
      <c r="P88" s="18">
        <v>6000000</v>
      </c>
      <c r="Q88" s="97">
        <v>11</v>
      </c>
      <c r="R88" s="97"/>
    </row>
    <row r="89" spans="2:26">
      <c r="O89" s="97" t="s">
        <v>5674</v>
      </c>
      <c r="P89" s="18">
        <v>48000000</v>
      </c>
      <c r="Q89" s="97">
        <v>8</v>
      </c>
      <c r="R89" s="97"/>
    </row>
    <row r="90" spans="2:26">
      <c r="O90" s="97" t="s">
        <v>5697</v>
      </c>
      <c r="P90" s="18">
        <v>-400000</v>
      </c>
      <c r="Q90" s="97">
        <v>23</v>
      </c>
      <c r="R90" s="97"/>
    </row>
    <row r="91" spans="2:26">
      <c r="O91" s="97" t="s">
        <v>5736</v>
      </c>
      <c r="P91" s="18">
        <v>500000</v>
      </c>
      <c r="Q91" s="97">
        <v>4</v>
      </c>
      <c r="R91" s="97"/>
    </row>
    <row r="92" spans="2:26">
      <c r="O92" s="97" t="s">
        <v>5740</v>
      </c>
      <c r="P92" s="18">
        <v>-500000</v>
      </c>
      <c r="Q92" s="97">
        <v>48</v>
      </c>
      <c r="R92" s="97"/>
      <c r="T92" t="s">
        <v>25</v>
      </c>
    </row>
    <row r="93" spans="2:26">
      <c r="O93" s="97" t="s">
        <v>5810</v>
      </c>
      <c r="P93" s="18">
        <v>2000000</v>
      </c>
      <c r="Q93" s="97">
        <v>11</v>
      </c>
      <c r="R93" s="97"/>
    </row>
    <row r="94" spans="2:26">
      <c r="O94" s="97" t="s">
        <v>5829</v>
      </c>
      <c r="P94" s="18">
        <v>-2000000</v>
      </c>
      <c r="Q94" s="97">
        <v>1</v>
      </c>
      <c r="R94" s="97"/>
      <c r="T94" t="s">
        <v>25</v>
      </c>
    </row>
    <row r="95" spans="2:26">
      <c r="O95" s="97" t="s">
        <v>5833</v>
      </c>
      <c r="P95" s="18">
        <v>-42203</v>
      </c>
      <c r="Q95" s="97">
        <v>2</v>
      </c>
      <c r="R95" s="97" t="s">
        <v>5840</v>
      </c>
      <c r="Z95" t="s">
        <v>25</v>
      </c>
    </row>
    <row r="96" spans="2:26">
      <c r="O96" s="97" t="s">
        <v>5845</v>
      </c>
      <c r="P96" s="18">
        <v>-365000</v>
      </c>
      <c r="Q96" s="97">
        <v>1</v>
      </c>
      <c r="R96" s="97" t="s">
        <v>5846</v>
      </c>
    </row>
    <row r="97" spans="15:18">
      <c r="O97" s="97"/>
      <c r="P97" s="18"/>
      <c r="Q97" s="97"/>
      <c r="R97" s="97"/>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59192797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5628</v>
      </c>
      <c r="I145" t="s">
        <v>25</v>
      </c>
    </row>
    <row r="146" spans="4:9">
      <c r="D146" s="18">
        <v>-180000</v>
      </c>
      <c r="E146" s="247" t="s">
        <v>5682</v>
      </c>
      <c r="G146" t="s">
        <v>25</v>
      </c>
    </row>
    <row r="147" spans="4:9">
      <c r="D147" s="18">
        <v>-30000</v>
      </c>
      <c r="E147" s="247" t="s">
        <v>5681</v>
      </c>
    </row>
    <row r="148" spans="4:9">
      <c r="D148" s="18">
        <v>-47000</v>
      </c>
      <c r="E148" s="247" t="s">
        <v>5680</v>
      </c>
    </row>
    <row r="149" spans="4:9">
      <c r="D149" s="18">
        <v>-1000000</v>
      </c>
      <c r="E149" s="247" t="s">
        <v>5683</v>
      </c>
    </row>
    <row r="150" spans="4:9">
      <c r="D150" s="18">
        <v>-500000</v>
      </c>
      <c r="E150" s="247" t="s">
        <v>5702</v>
      </c>
    </row>
    <row r="151" spans="4:9">
      <c r="D151" s="18">
        <v>-5000000</v>
      </c>
      <c r="E151" s="247" t="s">
        <v>5708</v>
      </c>
    </row>
    <row r="152" spans="4:9">
      <c r="D152" s="18">
        <v>-200000</v>
      </c>
      <c r="E152" s="247" t="s">
        <v>5719</v>
      </c>
    </row>
    <row r="153" spans="4:9">
      <c r="D153" s="18">
        <v>-268000</v>
      </c>
      <c r="E153" s="247" t="s">
        <v>5754</v>
      </c>
      <c r="I153" t="s">
        <v>25</v>
      </c>
    </row>
    <row r="154" spans="4:9">
      <c r="D154" s="18">
        <v>-1800000</v>
      </c>
      <c r="E154" s="247" t="s">
        <v>5777</v>
      </c>
    </row>
    <row r="155" spans="4:9" ht="30">
      <c r="D155" s="18">
        <v>-3200000</v>
      </c>
      <c r="E155" s="247" t="s">
        <v>5778</v>
      </c>
      <c r="I155" t="s">
        <v>25</v>
      </c>
    </row>
    <row r="156" spans="4:9">
      <c r="D156" s="18">
        <v>-300000</v>
      </c>
      <c r="E156" s="247" t="s">
        <v>5788</v>
      </c>
    </row>
    <row r="157" spans="4:9">
      <c r="D157" s="18">
        <v>-1300000</v>
      </c>
      <c r="E157" s="247" t="s">
        <v>5789</v>
      </c>
    </row>
    <row r="158" spans="4:9">
      <c r="D158" s="18">
        <v>860000</v>
      </c>
      <c r="E158" s="247" t="s">
        <v>5809</v>
      </c>
    </row>
    <row r="159" spans="4:9">
      <c r="D159" s="18">
        <v>-83900</v>
      </c>
      <c r="E159" s="247" t="s">
        <v>5825</v>
      </c>
      <c r="I159" t="s">
        <v>25</v>
      </c>
    </row>
    <row r="160" spans="4:9">
      <c r="D160" s="18">
        <v>-3810000</v>
      </c>
      <c r="E160" s="247" t="s">
        <v>5855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J18" zoomScale="80" zoomScaleNormal="80" workbookViewId="0">
      <selection activeCell="L28" sqref="L2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S94</f>
        <v>827</v>
      </c>
      <c r="T20" s="166" t="s">
        <v>4284</v>
      </c>
      <c r="U20" s="166">
        <v>192.1</v>
      </c>
      <c r="V20" s="166">
        <f t="shared" ref="V20:V61" si="6">U20*(1+$R$90+$Q$15*S20/36500)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5451433718.5540094</v>
      </c>
      <c r="M21" s="166" t="s">
        <v>4276</v>
      </c>
      <c r="N21" s="111">
        <f>O21*P21</f>
        <v>2964223200</v>
      </c>
      <c r="O21" s="97">
        <v>2470186</v>
      </c>
      <c r="P21" s="183">
        <f>P45</f>
        <v>1200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22500</v>
      </c>
      <c r="Q22" s="167">
        <v>1614398</v>
      </c>
      <c r="R22" s="166" t="s">
        <v>4398</v>
      </c>
      <c r="S22" s="166">
        <f>S21-3</f>
        <v>765</v>
      </c>
      <c r="T22" s="19" t="s">
        <v>5667</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104672700</v>
      </c>
      <c r="O23" s="97">
        <v>6402</v>
      </c>
      <c r="P23" s="183">
        <f>P43</f>
        <v>16350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5712784091.5540094</v>
      </c>
      <c r="G24" s="93">
        <f t="shared" si="0"/>
        <v>-5432477746.1720705</v>
      </c>
      <c r="H24" s="11"/>
      <c r="I24" s="94"/>
      <c r="J24" s="94"/>
      <c r="K24" s="166" t="s">
        <v>5856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932</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25875000</v>
      </c>
      <c r="O26" s="67">
        <v>1150</v>
      </c>
      <c r="P26" s="97">
        <f>P44</f>
        <v>22500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107157900</v>
      </c>
      <c r="O27" s="67">
        <v>6554</v>
      </c>
      <c r="P27" s="97">
        <f>P43</f>
        <v>16350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254118000</v>
      </c>
      <c r="O28" s="67">
        <v>211765</v>
      </c>
      <c r="P28" s="97">
        <f>P45</f>
        <v>1200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5632</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-5451433718.5540094</v>
      </c>
      <c r="P31" t="s">
        <v>25</v>
      </c>
      <c r="Q31" s="167">
        <v>5368238</v>
      </c>
      <c r="R31" s="210" t="s">
        <v>5639</v>
      </c>
      <c r="S31" s="195">
        <f>S30-465</f>
        <v>130</v>
      </c>
      <c r="T31" s="210" t="s">
        <v>5640</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5641</v>
      </c>
      <c r="S32" s="195">
        <f>S31-3</f>
        <v>127</v>
      </c>
      <c r="T32" s="210" t="s">
        <v>5642</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5643</v>
      </c>
      <c r="S33" s="195">
        <f>S32-1</f>
        <v>126</v>
      </c>
      <c r="T33" s="210" t="s">
        <v>5644</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5650</v>
      </c>
      <c r="S34" s="195">
        <f>S33-8</f>
        <v>118</v>
      </c>
      <c r="T34" s="210" t="s">
        <v>5654</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5653</v>
      </c>
      <c r="S35" s="195">
        <f>S34-1</f>
        <v>117</v>
      </c>
      <c r="T35" s="210" t="s">
        <v>5657</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5655</v>
      </c>
      <c r="S36" s="195">
        <f>S35-1</f>
        <v>116</v>
      </c>
      <c r="T36" s="210" t="s">
        <v>5656</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5658</v>
      </c>
      <c r="S37" s="195">
        <f>S36-3</f>
        <v>113</v>
      </c>
      <c r="T37" s="210" t="s">
        <v>5662</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5660</v>
      </c>
      <c r="S38" s="195">
        <f>S37-2</f>
        <v>111</v>
      </c>
      <c r="T38" s="210" t="s">
        <v>5661</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5663</v>
      </c>
      <c r="S39" s="195">
        <f>S38-1</f>
        <v>110</v>
      </c>
      <c r="T39" s="210" t="s">
        <v>5668</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f>L40+365000</f>
        <v>-78827797</v>
      </c>
      <c r="K40" s="254" t="s">
        <v>5830</v>
      </c>
      <c r="L40" s="115">
        <v>-79192797</v>
      </c>
      <c r="M40" s="166"/>
      <c r="N40" s="111"/>
      <c r="O40" s="97"/>
      <c r="P40" s="97"/>
      <c r="Q40" s="167">
        <v>563902380</v>
      </c>
      <c r="R40" s="210" t="s">
        <v>5670</v>
      </c>
      <c r="S40" s="195">
        <f>S39-5</f>
        <v>105</v>
      </c>
      <c r="T40" s="210" t="s">
        <v>5672</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5843</v>
      </c>
      <c r="N41" s="115">
        <f>O41*P41</f>
        <v>56857200</v>
      </c>
      <c r="O41" s="67">
        <v>47381</v>
      </c>
      <c r="P41" s="67">
        <f>P45</f>
        <v>1200</v>
      </c>
      <c r="Q41" s="167">
        <v>814638349</v>
      </c>
      <c r="R41" s="210" t="s">
        <v>5678</v>
      </c>
      <c r="S41" s="195">
        <f>S40-8</f>
        <v>97</v>
      </c>
      <c r="T41" s="210" t="s">
        <v>5679</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5839</v>
      </c>
      <c r="L42" s="115">
        <f>N41</f>
        <v>56857200</v>
      </c>
      <c r="M42" s="21" t="s">
        <v>5269</v>
      </c>
      <c r="N42" s="115">
        <f t="shared" ref="N42:N48" si="22">O42*P42</f>
        <v>0</v>
      </c>
      <c r="O42" s="67">
        <v>0</v>
      </c>
      <c r="P42" s="67">
        <v>91000</v>
      </c>
      <c r="Q42" s="167">
        <v>2537951</v>
      </c>
      <c r="R42" s="210" t="s">
        <v>5699</v>
      </c>
      <c r="S42" s="195">
        <f>S41-5</f>
        <v>92</v>
      </c>
      <c r="T42" s="210" t="s">
        <v>5700</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5516</v>
      </c>
      <c r="L43" s="115">
        <f>J152</f>
        <v>371104800</v>
      </c>
      <c r="M43" s="19" t="s">
        <v>4358</v>
      </c>
      <c r="N43" s="115">
        <f t="shared" si="22"/>
        <v>246329100</v>
      </c>
      <c r="O43" s="67">
        <v>15066</v>
      </c>
      <c r="P43" s="67">
        <v>16350</v>
      </c>
      <c r="Q43" s="167">
        <v>2352469</v>
      </c>
      <c r="R43" s="210" t="s">
        <v>5705</v>
      </c>
      <c r="S43" s="195">
        <f>S42-2</f>
        <v>90</v>
      </c>
      <c r="T43" s="210" t="s">
        <v>5706</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5675</v>
      </c>
      <c r="L44" s="115">
        <f>-747*P48</f>
        <v>-18973800</v>
      </c>
      <c r="M44" s="19" t="s">
        <v>4362</v>
      </c>
      <c r="N44" s="115">
        <f t="shared" si="22"/>
        <v>0</v>
      </c>
      <c r="O44" s="67">
        <v>0</v>
      </c>
      <c r="P44" s="67">
        <v>22500</v>
      </c>
      <c r="Q44" s="167">
        <v>66679502.699854635</v>
      </c>
      <c r="R44" s="210" t="s">
        <v>5710</v>
      </c>
      <c r="S44" s="195">
        <f>S43-1</f>
        <v>89</v>
      </c>
      <c r="T44" s="210" t="s">
        <v>5753</v>
      </c>
      <c r="U44" s="210">
        <v>16861.099999999999</v>
      </c>
      <c r="V44" s="210">
        <f t="shared" si="6"/>
        <v>18268.562999452053</v>
      </c>
      <c r="W44" s="32">
        <f t="shared" ref="W44:W46" si="25">V44*(1+$W$19/100)</f>
        <v>18633.934259441095</v>
      </c>
      <c r="X44" s="32">
        <f t="shared" ref="X44:X46" si="26">V44*(1+$X$19/100)</f>
        <v>18999.305519430134</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5569</v>
      </c>
      <c r="L45" s="115"/>
      <c r="M45" s="19" t="s">
        <v>4160</v>
      </c>
      <c r="N45" s="111">
        <f>O45*P45</f>
        <v>5186774400</v>
      </c>
      <c r="O45" s="97">
        <v>4322312</v>
      </c>
      <c r="P45" s="97">
        <v>1200</v>
      </c>
      <c r="Q45" s="167">
        <v>67414766</v>
      </c>
      <c r="R45" s="210" t="s">
        <v>5710</v>
      </c>
      <c r="S45" s="195">
        <f>S44</f>
        <v>89</v>
      </c>
      <c r="T45" s="210" t="s">
        <v>5717</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5593</v>
      </c>
      <c r="L46" s="115">
        <v>-1605910</v>
      </c>
      <c r="M46" s="19" t="s">
        <v>5087</v>
      </c>
      <c r="N46" s="111">
        <f t="shared" si="22"/>
        <v>0</v>
      </c>
      <c r="O46" s="97">
        <v>0</v>
      </c>
      <c r="P46" s="97">
        <v>9700</v>
      </c>
      <c r="Q46" s="167">
        <v>23400057</v>
      </c>
      <c r="R46" s="210" t="s">
        <v>5714</v>
      </c>
      <c r="S46" s="195">
        <f>S45-1</f>
        <v>88</v>
      </c>
      <c r="T46" s="210" t="s">
        <v>5718</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5720</v>
      </c>
      <c r="S47" s="195">
        <f>S46-4</f>
        <v>84</v>
      </c>
      <c r="T47" s="210" t="s">
        <v>5721</v>
      </c>
      <c r="U47" s="210">
        <v>1582</v>
      </c>
      <c r="V47" s="210">
        <f t="shared" si="6"/>
        <v>1707.9878794520548</v>
      </c>
      <c r="W47" s="32">
        <f t="shared" ref="W47:W58" si="27">V47*(1+$W$19/100)</f>
        <v>1742.147637041096</v>
      </c>
      <c r="X47" s="32">
        <f t="shared" ref="X47:X58"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5722</v>
      </c>
      <c r="S48" s="195">
        <f>S47-1</f>
        <v>83</v>
      </c>
      <c r="T48" s="210" t="s">
        <v>5723</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5725</v>
      </c>
      <c r="S49" s="195">
        <f>S48-2</f>
        <v>81</v>
      </c>
      <c r="T49" s="210" t="s">
        <v>5726</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5741</v>
      </c>
      <c r="S50" s="195">
        <f>S49-19</f>
        <v>62</v>
      </c>
      <c r="T50" s="210" t="s">
        <v>5742</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5743</v>
      </c>
      <c r="S51" s="195">
        <f>S50-1</f>
        <v>61</v>
      </c>
      <c r="T51" s="210" t="s">
        <v>5744</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5745</v>
      </c>
      <c r="S52" s="195">
        <f>S51-1</f>
        <v>60</v>
      </c>
      <c r="T52" s="210" t="s">
        <v>5746</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5748</v>
      </c>
      <c r="S53" s="195">
        <f>S52-3</f>
        <v>57</v>
      </c>
      <c r="T53" s="210" t="s">
        <v>5749</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5751</v>
      </c>
      <c r="S54" s="195">
        <f>S53-2</f>
        <v>55</v>
      </c>
      <c r="T54" s="210" t="s">
        <v>5752</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-104837168.5125647</v>
      </c>
      <c r="P55" t="s">
        <v>25</v>
      </c>
      <c r="Q55" s="167" t="s">
        <v>25</v>
      </c>
      <c r="R55" s="210" t="s">
        <v>5755</v>
      </c>
      <c r="S55" s="195">
        <f>S54-7</f>
        <v>48</v>
      </c>
      <c r="T55" s="210" t="s">
        <v>5756</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5833</v>
      </c>
      <c r="S57" s="195">
        <f>S56-22</f>
        <v>6</v>
      </c>
      <c r="T57" s="210" t="s">
        <v>5847</v>
      </c>
      <c r="U57" s="210">
        <v>16380</v>
      </c>
      <c r="V57" s="210">
        <f t="shared" si="6"/>
        <v>16704.368876712328</v>
      </c>
      <c r="W57" s="32">
        <f t="shared" si="27"/>
        <v>17038.456254246576</v>
      </c>
      <c r="X57" s="32">
        <f t="shared" si="28"/>
        <v>17372.54363178082</v>
      </c>
      <c r="Y57" s="94"/>
      <c r="Z57" s="120"/>
      <c r="AA57" s="94">
        <v>2296</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3333640051.9334259</v>
      </c>
      <c r="P58" t="s">
        <v>25</v>
      </c>
      <c r="Q58" s="167" t="s">
        <v>25</v>
      </c>
      <c r="R58" s="210" t="s">
        <v>5833</v>
      </c>
      <c r="S58" s="195">
        <f>S57</f>
        <v>6</v>
      </c>
      <c r="T58" s="210" t="s">
        <v>5834</v>
      </c>
      <c r="U58" s="210">
        <v>1302</v>
      </c>
      <c r="V58" s="210">
        <f t="shared" si="6"/>
        <v>1327.7831671232877</v>
      </c>
      <c r="W58" s="32">
        <f t="shared" si="27"/>
        <v>1354.3388304657535</v>
      </c>
      <c r="X58" s="32">
        <f t="shared" si="28"/>
        <v>1380.8944938082193</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5712784091.5540094</v>
      </c>
      <c r="M59" s="166"/>
      <c r="N59" s="111">
        <f>N16+N17+N32</f>
        <v>641053</v>
      </c>
      <c r="Q59" s="167"/>
      <c r="R59" s="210" t="s">
        <v>5841</v>
      </c>
      <c r="S59" s="195">
        <f>S58-1</f>
        <v>5</v>
      </c>
      <c r="T59" s="210" t="s">
        <v>5842</v>
      </c>
      <c r="U59" s="210">
        <v>1250</v>
      </c>
      <c r="V59" s="210">
        <f t="shared" si="6"/>
        <v>1273.7945205479452</v>
      </c>
      <c r="W59" s="32">
        <f t="shared" ref="W59:W63" si="29">V59*(1+$W$19/100)</f>
        <v>1299.2704109589042</v>
      </c>
      <c r="X59" s="32">
        <f t="shared" ref="X59:X63" si="30">V59*(1+$X$19/100)</f>
        <v>1324.7463013698632</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5848</v>
      </c>
      <c r="S60" s="195">
        <f>S59-4</f>
        <v>1</v>
      </c>
      <c r="T60" s="210" t="s">
        <v>5849</v>
      </c>
      <c r="U60" s="210">
        <v>1195</v>
      </c>
      <c r="V60" s="210">
        <f t="shared" si="6"/>
        <v>1214.080712328767</v>
      </c>
      <c r="W60" s="32">
        <f t="shared" si="29"/>
        <v>1238.3623265753424</v>
      </c>
      <c r="X60" s="32">
        <f t="shared" si="30"/>
        <v>1262.6439408219178</v>
      </c>
      <c r="Y60" s="120">
        <v>3122</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5812784091.5540094</v>
      </c>
      <c r="O61" s="94"/>
      <c r="P61" s="94"/>
      <c r="Q61" s="167"/>
      <c r="R61" s="210" t="s">
        <v>5851</v>
      </c>
      <c r="S61" s="195">
        <f>S60-1</f>
        <v>0</v>
      </c>
      <c r="T61" s="210" t="s">
        <v>5854</v>
      </c>
      <c r="U61" s="210">
        <v>16350</v>
      </c>
      <c r="V61" s="210">
        <f t="shared" si="6"/>
        <v>16598.52</v>
      </c>
      <c r="W61" s="32">
        <f t="shared" si="29"/>
        <v>16930.490400000002</v>
      </c>
      <c r="X61" s="32">
        <f t="shared" si="30"/>
        <v>17262.460800000001</v>
      </c>
      <c r="Y61" s="120"/>
      <c r="Z61" s="120"/>
      <c r="AA61" s="94">
        <v>17</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c r="S62" s="195"/>
      <c r="T62" s="210"/>
      <c r="U62" s="210"/>
      <c r="V62" s="210">
        <f>U62*(1+$R$90+$Q$15*S62/36500)</f>
        <v>0</v>
      </c>
      <c r="W62" s="32">
        <f t="shared" si="29"/>
        <v>0</v>
      </c>
      <c r="X62" s="32">
        <f t="shared" si="30"/>
        <v>0</v>
      </c>
      <c r="Y62" s="120"/>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t="s">
        <v>25</v>
      </c>
      <c r="R63" s="166" t="s">
        <v>25</v>
      </c>
      <c r="S63" s="166"/>
      <c r="T63" s="166" t="s">
        <v>25</v>
      </c>
      <c r="U63" s="166"/>
      <c r="V63" s="210">
        <f>U63*(1+$R$90+$Q$15*S63/36500)</f>
        <v>0</v>
      </c>
      <c r="W63" s="32">
        <f t="shared" si="29"/>
        <v>0</v>
      </c>
      <c r="X63" s="32">
        <f t="shared" si="30"/>
        <v>0</v>
      </c>
      <c r="Y63" s="120"/>
      <c r="Z63" s="120" t="s">
        <v>25</v>
      </c>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f>SUM(N21:N23)-SUM(Q20:Q63)</f>
        <v>1197619579.9759548</v>
      </c>
      <c r="R64" s="166" t="s">
        <v>25</v>
      </c>
      <c r="S64" s="166" t="s">
        <v>25</v>
      </c>
      <c r="T64" s="166" t="s">
        <v>25</v>
      </c>
      <c r="U64" s="166"/>
      <c r="V64" s="166"/>
      <c r="W64" s="32"/>
      <c r="X64" s="32"/>
      <c r="Z64" s="120"/>
      <c r="AB64" s="94"/>
      <c r="AC64" s="94"/>
      <c r="AH64" s="20">
        <v>45</v>
      </c>
      <c r="AI64" s="115" t="s">
        <v>4091</v>
      </c>
      <c r="AJ64" s="115">
        <v>1300000</v>
      </c>
      <c r="AK64" s="20">
        <v>0</v>
      </c>
      <c r="AL64" s="97">
        <f>AL65+AK64</f>
        <v>828</v>
      </c>
      <c r="AM64" s="111">
        <f t="shared" si="10"/>
        <v>1076400000</v>
      </c>
      <c r="AN64" s="20"/>
    </row>
    <row r="65" spans="1:40">
      <c r="M65" s="94" t="s">
        <v>4730</v>
      </c>
      <c r="N65" s="94"/>
      <c r="O65" s="94"/>
      <c r="R65" s="113" t="s">
        <v>25</v>
      </c>
      <c r="S65" s="113" t="s">
        <v>25</v>
      </c>
      <c r="T65" s="120" t="s">
        <v>25</v>
      </c>
      <c r="U65" s="113" t="s">
        <v>25</v>
      </c>
      <c r="V65" s="113" t="s">
        <v>25</v>
      </c>
      <c r="W65" s="192" t="s">
        <v>25</v>
      </c>
      <c r="X65" s="192"/>
      <c r="Z65" s="120" t="s">
        <v>25</v>
      </c>
      <c r="AA65" t="s">
        <v>25</v>
      </c>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Q66" s="94" t="s">
        <v>25</v>
      </c>
      <c r="R66" s="113" t="s">
        <v>25</v>
      </c>
      <c r="S66" s="113"/>
      <c r="T66" s="113" t="s">
        <v>25</v>
      </c>
      <c r="U66" s="113" t="s">
        <v>25</v>
      </c>
      <c r="V66" s="120" t="s">
        <v>25</v>
      </c>
      <c r="W66" s="192"/>
      <c r="X66" s="192" t="s">
        <v>25</v>
      </c>
      <c r="Y66" s="120" t="s">
        <v>25</v>
      </c>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166" t="s">
        <v>650</v>
      </c>
      <c r="R67" s="166"/>
      <c r="S67" s="166"/>
      <c r="T67" s="166"/>
      <c r="U67" s="166"/>
      <c r="V67" s="166"/>
      <c r="W67" s="32"/>
      <c r="X67" s="32"/>
      <c r="Z67" t="s">
        <v>25</v>
      </c>
      <c r="AA67" s="113"/>
      <c r="AB67" s="94"/>
      <c r="AC67" s="94"/>
      <c r="AH67" s="20">
        <v>47</v>
      </c>
      <c r="AI67" s="115" t="s">
        <v>4113</v>
      </c>
      <c r="AJ67" s="115">
        <v>-3100000</v>
      </c>
      <c r="AK67" s="20">
        <v>3</v>
      </c>
      <c r="AL67" s="97">
        <f t="shared" si="31"/>
        <v>824</v>
      </c>
      <c r="AM67" s="111">
        <f t="shared" si="10"/>
        <v>-2554400000</v>
      </c>
      <c r="AN67" s="20"/>
    </row>
    <row r="68" spans="1:40" ht="30">
      <c r="F68" t="s">
        <v>4087</v>
      </c>
      <c r="G68" t="s">
        <v>4082</v>
      </c>
      <c r="M68" s="120" t="s">
        <v>4524</v>
      </c>
      <c r="N68" s="94"/>
      <c r="O68" s="274"/>
      <c r="P68" t="s">
        <v>25</v>
      </c>
      <c r="Q68" s="166" t="s">
        <v>267</v>
      </c>
      <c r="R68" s="166" t="s">
        <v>180</v>
      </c>
      <c r="S68" s="166" t="s">
        <v>183</v>
      </c>
      <c r="T68" s="166" t="s">
        <v>8</v>
      </c>
      <c r="U68" s="166" t="s">
        <v>4333</v>
      </c>
      <c r="V68" s="71" t="s">
        <v>4335</v>
      </c>
      <c r="W68" s="32">
        <v>2</v>
      </c>
      <c r="X68" s="32">
        <v>4</v>
      </c>
      <c r="AA68" s="113"/>
      <c r="AB68" s="94"/>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v>0</v>
      </c>
      <c r="R69" s="166" t="s">
        <v>4153</v>
      </c>
      <c r="S69" s="166">
        <f>S94</f>
        <v>827</v>
      </c>
      <c r="T69" s="166"/>
      <c r="U69" s="166"/>
      <c r="V69" s="71"/>
      <c r="W69" s="32"/>
      <c r="X69" s="32"/>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7">
        <v>863944</v>
      </c>
      <c r="R70" s="166" t="s">
        <v>4398</v>
      </c>
      <c r="S70" s="166">
        <f>S69-62</f>
        <v>765</v>
      </c>
      <c r="T70" s="188" t="s">
        <v>4460</v>
      </c>
      <c r="U70" s="166">
        <v>184.6</v>
      </c>
      <c r="V70" s="166">
        <f t="shared" ref="V70:V82" si="32">U70*(1+$R$90+$Q$15*S70/36500)</f>
        <v>295.73830356164382</v>
      </c>
      <c r="W70" s="32">
        <f t="shared" ref="W70:W77" si="33">V70*(1+$W$19/100)</f>
        <v>301.65306963287668</v>
      </c>
      <c r="X70" s="32">
        <f t="shared" ref="X70:X77" si="34">V70*(1+$X$19/100)</f>
        <v>307.5678357041096</v>
      </c>
      <c r="Y70" s="94">
        <v>4661</v>
      </c>
      <c r="AA70" s="113"/>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1692313</v>
      </c>
      <c r="R71" s="166" t="s">
        <v>4463</v>
      </c>
      <c r="S71" s="195">
        <f>S70-21</f>
        <v>744</v>
      </c>
      <c r="T71" s="187" t="s">
        <v>4464</v>
      </c>
      <c r="U71" s="166">
        <v>168.5</v>
      </c>
      <c r="V71" s="166">
        <f t="shared" si="32"/>
        <v>267.2308438356165</v>
      </c>
      <c r="W71" s="32">
        <f t="shared" si="33"/>
        <v>272.57546071232883</v>
      </c>
      <c r="X71" s="32">
        <f t="shared" si="34"/>
        <v>277.92007758904117</v>
      </c>
      <c r="Y71" s="94">
        <v>10000</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101153</v>
      </c>
      <c r="R72" s="166" t="s">
        <v>4466</v>
      </c>
      <c r="S72" s="195">
        <f>S71-1</f>
        <v>743</v>
      </c>
      <c r="T72" s="187" t="s">
        <v>4468</v>
      </c>
      <c r="U72" s="166">
        <v>166.7</v>
      </c>
      <c r="V72" s="166">
        <f t="shared" si="32"/>
        <v>264.24827287671235</v>
      </c>
      <c r="W72" s="32">
        <f t="shared" si="33"/>
        <v>269.53323833424662</v>
      </c>
      <c r="X72" s="32">
        <f t="shared" si="34"/>
        <v>274.81820379178083</v>
      </c>
      <c r="Y72" s="94">
        <v>604</v>
      </c>
      <c r="AA72" s="120" t="s">
        <v>25</v>
      </c>
      <c r="AH72" s="20">
        <v>52</v>
      </c>
      <c r="AI72" s="115" t="s">
        <v>4147</v>
      </c>
      <c r="AJ72" s="115">
        <v>150000</v>
      </c>
      <c r="AK72" s="20">
        <v>1</v>
      </c>
      <c r="AL72" s="97">
        <f t="shared" si="31"/>
        <v>814</v>
      </c>
      <c r="AM72" s="115">
        <f t="shared" si="10"/>
        <v>122100000</v>
      </c>
      <c r="AN72" s="20"/>
    </row>
    <row r="73" spans="1:40">
      <c r="G73" t="s">
        <v>4089</v>
      </c>
      <c r="K73" t="s">
        <v>4731</v>
      </c>
      <c r="P73" s="113"/>
      <c r="Q73" s="167">
        <v>183105</v>
      </c>
      <c r="R73" s="166" t="s">
        <v>4208</v>
      </c>
      <c r="S73" s="195">
        <f>S72-1</f>
        <v>742</v>
      </c>
      <c r="T73" s="187" t="s">
        <v>4472</v>
      </c>
      <c r="U73" s="166">
        <v>166.6</v>
      </c>
      <c r="V73" s="166">
        <f t="shared" si="32"/>
        <v>263.9619528767123</v>
      </c>
      <c r="W73" s="32">
        <f t="shared" si="33"/>
        <v>269.24119193424656</v>
      </c>
      <c r="X73" s="32">
        <f t="shared" si="34"/>
        <v>274.52043099178081</v>
      </c>
      <c r="Y73" s="94">
        <v>1094</v>
      </c>
      <c r="AA73" s="113" t="s">
        <v>25</v>
      </c>
      <c r="AH73" s="177">
        <v>53</v>
      </c>
      <c r="AI73" s="178" t="s">
        <v>4153</v>
      </c>
      <c r="AJ73" s="178">
        <v>29000000</v>
      </c>
      <c r="AK73" s="177">
        <v>15</v>
      </c>
      <c r="AL73" s="177">
        <f t="shared" si="31"/>
        <v>813</v>
      </c>
      <c r="AM73" s="178">
        <f t="shared" si="10"/>
        <v>23577000000</v>
      </c>
      <c r="AN73" s="177" t="s">
        <v>4163</v>
      </c>
    </row>
    <row r="74" spans="1:40">
      <c r="K74" t="s">
        <v>4732</v>
      </c>
      <c r="N74" t="s">
        <v>5785</v>
      </c>
      <c r="P74" s="113"/>
      <c r="Q74" s="167">
        <v>168846</v>
      </c>
      <c r="R74" s="166" t="s">
        <v>3675</v>
      </c>
      <c r="S74" s="195">
        <f>S73-30</f>
        <v>712</v>
      </c>
      <c r="T74" s="187" t="s">
        <v>4558</v>
      </c>
      <c r="U74" s="166">
        <v>172.2</v>
      </c>
      <c r="V74" s="166">
        <f t="shared" si="32"/>
        <v>268.87166465753421</v>
      </c>
      <c r="W74" s="32">
        <f t="shared" si="33"/>
        <v>274.24909795068493</v>
      </c>
      <c r="X74" s="32">
        <f t="shared" si="34"/>
        <v>279.62653124383559</v>
      </c>
      <c r="Y74" s="94">
        <v>976</v>
      </c>
      <c r="AA74" s="113"/>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5784</v>
      </c>
      <c r="Q75" s="167">
        <v>19918023</v>
      </c>
      <c r="R75" s="5" t="s">
        <v>4791</v>
      </c>
      <c r="S75" s="195">
        <f>S74-75</f>
        <v>637</v>
      </c>
      <c r="T75" s="187" t="s">
        <v>4793</v>
      </c>
      <c r="U75" s="210">
        <v>183</v>
      </c>
      <c r="V75" s="210">
        <f t="shared" si="32"/>
        <v>275.20592876712328</v>
      </c>
      <c r="W75" s="32">
        <f t="shared" si="33"/>
        <v>280.71004734246577</v>
      </c>
      <c r="X75" s="32">
        <f t="shared" si="34"/>
        <v>286.2141659178082</v>
      </c>
      <c r="Y75" s="94">
        <v>108344</v>
      </c>
      <c r="Z75" s="113"/>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1200301</v>
      </c>
      <c r="R76" s="19" t="s">
        <v>4874</v>
      </c>
      <c r="S76" s="195">
        <f>S75-34</f>
        <v>603</v>
      </c>
      <c r="T76" s="187" t="s">
        <v>4876</v>
      </c>
      <c r="U76" s="210">
        <v>218.5</v>
      </c>
      <c r="V76" s="210">
        <f t="shared" si="32"/>
        <v>322.89391232876716</v>
      </c>
      <c r="W76" s="32">
        <f t="shared" si="33"/>
        <v>329.35179057534253</v>
      </c>
      <c r="X76" s="32">
        <f t="shared" si="34"/>
        <v>335.80966882191785</v>
      </c>
      <c r="Y76" s="94">
        <v>5468</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5837196.2537021004</v>
      </c>
      <c r="R77" s="19" t="s">
        <v>4899</v>
      </c>
      <c r="S77" s="195">
        <f>S76-16</f>
        <v>587</v>
      </c>
      <c r="T77" s="187" t="s">
        <v>5666</v>
      </c>
      <c r="U77" s="210">
        <v>196.2</v>
      </c>
      <c r="V77" s="210">
        <f t="shared" si="32"/>
        <v>287.5313687671233</v>
      </c>
      <c r="W77" s="32">
        <f t="shared" si="33"/>
        <v>293.28199614246574</v>
      </c>
      <c r="X77" s="32">
        <f t="shared" si="34"/>
        <v>299.03262351780825</v>
      </c>
      <c r="Y77" s="94">
        <v>29619</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10001487</v>
      </c>
      <c r="R78" s="19" t="s">
        <v>5626</v>
      </c>
      <c r="S78" s="195">
        <f>S77-442</f>
        <v>145</v>
      </c>
      <c r="T78" s="187" t="s">
        <v>5627</v>
      </c>
      <c r="U78" s="210">
        <v>15330</v>
      </c>
      <c r="V78" s="210">
        <f t="shared" si="32"/>
        <v>17268.216</v>
      </c>
      <c r="W78" s="32">
        <f t="shared" ref="W78:W85" si="35">V78*(1+$W$19/100)</f>
        <v>17613.580320000001</v>
      </c>
      <c r="X78" s="32">
        <f t="shared" ref="X78:X85" si="36">V78*(1+$X$19/100)</f>
        <v>17958.944640000002</v>
      </c>
      <c r="Y78" s="94"/>
      <c r="AA78">
        <v>650</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167">
        <v>2948152</v>
      </c>
      <c r="R79" s="19" t="s">
        <v>5710</v>
      </c>
      <c r="S79" s="195">
        <f>S78-56</f>
        <v>89</v>
      </c>
      <c r="T79" s="187" t="s">
        <v>5711</v>
      </c>
      <c r="U79" s="210">
        <v>1550</v>
      </c>
      <c r="V79" s="210">
        <f t="shared" si="32"/>
        <v>1679.3846575342468</v>
      </c>
      <c r="W79" s="32">
        <f t="shared" si="35"/>
        <v>1712.9723506849318</v>
      </c>
      <c r="X79" s="32">
        <f t="shared" si="36"/>
        <v>1746.5600438356166</v>
      </c>
      <c r="Y79" s="94">
        <v>1895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4485</v>
      </c>
      <c r="Q80" s="167"/>
      <c r="R80" s="19" t="s">
        <v>5826</v>
      </c>
      <c r="S80" s="195">
        <f>S79-81</f>
        <v>8</v>
      </c>
      <c r="T80" s="187" t="s">
        <v>5827</v>
      </c>
      <c r="U80" s="210">
        <v>15200</v>
      </c>
      <c r="V80" s="210">
        <f t="shared" si="32"/>
        <v>15524.322191780822</v>
      </c>
      <c r="W80" s="32">
        <f t="shared" si="35"/>
        <v>15834.808635616439</v>
      </c>
      <c r="X80" s="32">
        <f t="shared" si="36"/>
        <v>16145.295079452057</v>
      </c>
      <c r="AA80">
        <v>5904</v>
      </c>
      <c r="AC80" s="113"/>
      <c r="AD80" s="113"/>
      <c r="AE80" s="113"/>
      <c r="AF80"/>
      <c r="AH80" s="20">
        <v>60</v>
      </c>
      <c r="AI80" s="115" t="s">
        <v>4318</v>
      </c>
      <c r="AJ80" s="115">
        <v>-2450000</v>
      </c>
      <c r="AK80" s="20">
        <v>5</v>
      </c>
      <c r="AL80" s="97">
        <f t="shared" si="37"/>
        <v>769</v>
      </c>
      <c r="AM80" s="115">
        <f>AJ80*AL80</f>
        <v>-1884050000</v>
      </c>
      <c r="AN80" s="20"/>
    </row>
    <row r="81" spans="4:52" ht="18.75">
      <c r="D81" s="31" t="s">
        <v>308</v>
      </c>
      <c r="E81" s="1">
        <v>300000</v>
      </c>
      <c r="G81" s="94"/>
      <c r="H81" s="94"/>
      <c r="K81" t="s">
        <v>4272</v>
      </c>
      <c r="M81" s="315" t="s">
        <v>5636</v>
      </c>
      <c r="Q81" s="167"/>
      <c r="R81" s="19" t="s">
        <v>5833</v>
      </c>
      <c r="S81" s="195">
        <f>S80-2</f>
        <v>6</v>
      </c>
      <c r="T81" s="187" t="s">
        <v>5835</v>
      </c>
      <c r="U81" s="210">
        <v>1275</v>
      </c>
      <c r="V81" s="210">
        <f t="shared" si="32"/>
        <v>1300.2484931506849</v>
      </c>
      <c r="W81" s="32">
        <f t="shared" si="35"/>
        <v>1326.2534630136986</v>
      </c>
      <c r="X81" s="32">
        <f t="shared" si="36"/>
        <v>1352.2584328767123</v>
      </c>
      <c r="Y81" s="94">
        <v>48654</v>
      </c>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7"/>
      <c r="R82" s="19" t="s">
        <v>5848</v>
      </c>
      <c r="S82" s="195">
        <f>S81-5</f>
        <v>1</v>
      </c>
      <c r="T82" s="187" t="s">
        <v>5850</v>
      </c>
      <c r="U82" s="210">
        <v>1210</v>
      </c>
      <c r="V82" s="210">
        <f t="shared" si="32"/>
        <v>1229.3202191780822</v>
      </c>
      <c r="W82" s="32">
        <f t="shared" si="35"/>
        <v>1253.9066235616438</v>
      </c>
      <c r="X82" s="32">
        <f t="shared" si="36"/>
        <v>1278.4930279452055</v>
      </c>
      <c r="Y82" s="94">
        <v>450</v>
      </c>
      <c r="Z82" s="94"/>
      <c r="AA82" s="94"/>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c r="R83" s="19"/>
      <c r="S83" s="195"/>
      <c r="T83" s="187"/>
      <c r="U83" s="210"/>
      <c r="V83" s="210"/>
      <c r="W83" s="32"/>
      <c r="X83" s="32"/>
      <c r="Y83" s="94"/>
      <c r="Z83" s="94"/>
      <c r="AA83" s="94"/>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c r="R84" s="19"/>
      <c r="S84" s="195"/>
      <c r="T84" s="187"/>
      <c r="U84" s="210"/>
      <c r="V84" s="210"/>
      <c r="W84" s="32"/>
      <c r="X84" s="32"/>
      <c r="Y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66"/>
      <c r="S85" s="111"/>
      <c r="T85" s="111"/>
      <c r="U85" s="166" t="s">
        <v>25</v>
      </c>
      <c r="V85" s="210" t="e">
        <f>U85*(1+$R$90+$Q$15*S85/36500)</f>
        <v>#VALUE!</v>
      </c>
      <c r="W85" s="32" t="e">
        <f t="shared" si="35"/>
        <v>#VALUE!</v>
      </c>
      <c r="X85" s="32" t="e">
        <f t="shared" si="36"/>
        <v>#VALUE!</v>
      </c>
      <c r="Z85" t="s">
        <v>25</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11">
        <f>SUM(N26:N28)-SUM(Q69:Q85)</f>
        <v>344236379.7462979</v>
      </c>
      <c r="R86" s="166"/>
      <c r="S86" s="166"/>
      <c r="T86" s="166"/>
      <c r="U86" s="166"/>
      <c r="V86" s="166"/>
      <c r="W86" s="32"/>
      <c r="X86" s="32"/>
      <c r="AA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R87" s="113"/>
      <c r="S87" s="113"/>
      <c r="T87" s="113" t="s">
        <v>25</v>
      </c>
      <c r="U87" s="113" t="s">
        <v>25</v>
      </c>
      <c r="V87" s="113" t="s">
        <v>25</v>
      </c>
      <c r="W87" s="192" t="s">
        <v>25</v>
      </c>
      <c r="X87" s="19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Q88" s="97" t="s">
        <v>934</v>
      </c>
      <c r="R88" s="97">
        <v>1.03E-2</v>
      </c>
      <c r="S88" s="26" t="s">
        <v>25</v>
      </c>
      <c r="T88" t="s">
        <v>25</v>
      </c>
      <c r="U88" s="94" t="s">
        <v>25</v>
      </c>
      <c r="V88" s="113" t="s">
        <v>25</v>
      </c>
      <c r="W88" s="192" t="s">
        <v>25</v>
      </c>
      <c r="X88" s="192"/>
      <c r="Z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61</v>
      </c>
      <c r="R89" s="97">
        <v>4.8999999999999998E-3</v>
      </c>
      <c r="T89" s="112" t="s">
        <v>25</v>
      </c>
      <c r="U89" s="94" t="s">
        <v>25</v>
      </c>
      <c r="V89" t="s">
        <v>25</v>
      </c>
      <c r="W89" s="192" t="s">
        <v>25</v>
      </c>
      <c r="X89" s="192" t="s">
        <v>25</v>
      </c>
      <c r="Y89" s="94"/>
      <c r="Z89" s="94"/>
      <c r="AA89" s="94"/>
      <c r="AB89" s="113"/>
      <c r="AC89" s="113"/>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v>
      </c>
      <c r="R90" s="97">
        <f>R88+R89</f>
        <v>1.52E-2</v>
      </c>
      <c r="T90" t="s">
        <v>25</v>
      </c>
      <c r="U90" s="94" t="s">
        <v>25</v>
      </c>
      <c r="V90" t="s">
        <v>25</v>
      </c>
      <c r="W90" s="192"/>
      <c r="X90" s="192"/>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W91" s="192"/>
      <c r="X91" s="192"/>
      <c r="AE91"/>
      <c r="AG91" s="94"/>
      <c r="AH91" s="20">
        <v>71</v>
      </c>
      <c r="AI91" s="115" t="s">
        <v>4442</v>
      </c>
      <c r="AJ91" s="115">
        <v>2648000</v>
      </c>
      <c r="AK91" s="20">
        <v>1</v>
      </c>
      <c r="AL91" s="97">
        <f t="shared" si="31"/>
        <v>742</v>
      </c>
      <c r="AM91" s="115">
        <f t="shared" si="10"/>
        <v>1964816000</v>
      </c>
      <c r="AN91" s="20" t="s">
        <v>4443</v>
      </c>
      <c r="AU91" s="94" t="s">
        <v>25</v>
      </c>
    </row>
    <row r="92" spans="4:52" ht="30">
      <c r="D92" s="32" t="s">
        <v>319</v>
      </c>
      <c r="E92" s="1">
        <v>20000</v>
      </c>
      <c r="F92" s="94"/>
      <c r="G92" s="94"/>
      <c r="H92" s="94"/>
      <c r="I92" s="94" t="s">
        <v>25</v>
      </c>
      <c r="J92" s="94" t="s">
        <v>25</v>
      </c>
      <c r="K92" s="94" t="s">
        <v>25</v>
      </c>
      <c r="P92" s="126"/>
      <c r="Q92" s="71" t="s">
        <v>4271</v>
      </c>
      <c r="R92" s="110"/>
      <c r="S92" s="110"/>
      <c r="T92" s="110"/>
      <c r="U92" s="166" t="s">
        <v>4333</v>
      </c>
      <c r="V92" s="36" t="s">
        <v>4335</v>
      </c>
      <c r="W92" s="32"/>
      <c r="X92" s="32"/>
      <c r="Y92" s="94"/>
      <c r="Z92" s="94"/>
      <c r="AA92" s="94"/>
      <c r="AE92"/>
      <c r="AG92" s="94"/>
      <c r="AH92" s="20">
        <v>72</v>
      </c>
      <c r="AI92" s="115" t="s">
        <v>4209</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c r="P93" s="113"/>
      <c r="Q93" s="110" t="s">
        <v>267</v>
      </c>
      <c r="R93" s="110" t="s">
        <v>180</v>
      </c>
      <c r="S93" s="110" t="s">
        <v>183</v>
      </c>
      <c r="T93" s="110" t="s">
        <v>8</v>
      </c>
      <c r="U93" s="166"/>
      <c r="V93" s="97"/>
      <c r="W93" s="32">
        <v>2</v>
      </c>
      <c r="X93" s="32">
        <v>4</v>
      </c>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35">
        <v>38474780.062005915</v>
      </c>
      <c r="R94" s="5" t="s">
        <v>4153</v>
      </c>
      <c r="S94" s="5">
        <v>827</v>
      </c>
      <c r="T94" s="5" t="s">
        <v>5633</v>
      </c>
      <c r="U94" s="166">
        <v>192</v>
      </c>
      <c r="V94" s="97">
        <f t="shared" ref="V94:V123" si="38">U94*(1+$R$90+$Q$15*S94/36500)</f>
        <v>316.72530410958905</v>
      </c>
      <c r="W94" s="32">
        <f t="shared" ref="W94" si="39">V94*(1+$W$19/100)</f>
        <v>323.05981019178085</v>
      </c>
      <c r="X94" s="32">
        <f t="shared" ref="X94" si="40">V94*(1+$X$19/100)</f>
        <v>329.39431627397261</v>
      </c>
      <c r="Y94" s="94">
        <v>200000</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1131325.9005020538</v>
      </c>
      <c r="R95" s="210" t="s">
        <v>5438</v>
      </c>
      <c r="S95" s="210">
        <f>S94-574</f>
        <v>253</v>
      </c>
      <c r="T95" s="210" t="s">
        <v>5556</v>
      </c>
      <c r="U95" s="210">
        <v>8280.2000000000007</v>
      </c>
      <c r="V95" s="97">
        <f t="shared" si="38"/>
        <v>10013.098404383563</v>
      </c>
      <c r="W95" s="32">
        <f t="shared" ref="W95" si="41">V95*(1+$W$19/100)</f>
        <v>10213.360372471234</v>
      </c>
      <c r="X95" s="32">
        <f t="shared" ref="X95" si="42">V95*(1+$X$19/100)</f>
        <v>10413.622340558906</v>
      </c>
      <c r="AA95">
        <v>136</v>
      </c>
      <c r="AH95" s="97">
        <v>75</v>
      </c>
      <c r="AI95" s="111" t="s">
        <v>4457</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28929761.954513293</v>
      </c>
      <c r="R96" s="210" t="s">
        <v>5564</v>
      </c>
      <c r="S96" s="210">
        <f>S95-77</f>
        <v>176</v>
      </c>
      <c r="T96" s="210" t="s">
        <v>5758</v>
      </c>
      <c r="U96" s="210">
        <v>17019</v>
      </c>
      <c r="V96" s="97">
        <f t="shared" si="38"/>
        <v>19575.486936986301</v>
      </c>
      <c r="W96" s="32">
        <f t="shared" ref="W96" si="44">V96*(1+$W$19/100)</f>
        <v>19966.996675726026</v>
      </c>
      <c r="X96" s="32">
        <f t="shared" ref="X96" si="45">V96*(1+$X$19/100)</f>
        <v>20358.506414465755</v>
      </c>
      <c r="Y96" t="s">
        <v>25</v>
      </c>
      <c r="AA96">
        <v>1692</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433201621</v>
      </c>
      <c r="R97" s="210" t="s">
        <v>5638</v>
      </c>
      <c r="S97" s="210">
        <f>S96-44</f>
        <v>132</v>
      </c>
      <c r="T97" s="210" t="s">
        <v>5645</v>
      </c>
      <c r="U97" s="210">
        <v>1995.5</v>
      </c>
      <c r="V97" s="97">
        <f t="shared" si="38"/>
        <v>2227.8964767123289</v>
      </c>
      <c r="W97" s="32">
        <f t="shared" ref="W97:W98" si="46">V97*(1+$W$19/100)</f>
        <v>2272.4544062465757</v>
      </c>
      <c r="X97" s="32">
        <f t="shared" ref="X97:X98" si="47">V97*(1+$X$19/100)</f>
        <v>2317.012335780822</v>
      </c>
      <c r="Y97">
        <v>216287</v>
      </c>
      <c r="Z97" t="s">
        <v>25</v>
      </c>
      <c r="AH97" s="97">
        <v>77</v>
      </c>
      <c r="AI97" s="111" t="s">
        <v>4463</v>
      </c>
      <c r="AJ97" s="111">
        <v>1900000</v>
      </c>
      <c r="AK97" s="97">
        <v>3</v>
      </c>
      <c r="AL97" s="97">
        <f t="shared" si="43"/>
        <v>730</v>
      </c>
      <c r="AM97" s="115">
        <f t="shared" si="10"/>
        <v>1387000000</v>
      </c>
      <c r="AN97" s="97"/>
    </row>
    <row r="98" spans="4:47">
      <c r="D98" s="2"/>
      <c r="E98" s="3"/>
      <c r="Q98" s="167">
        <v>8201348.2384272004</v>
      </c>
      <c r="R98" s="210" t="s">
        <v>5641</v>
      </c>
      <c r="S98" s="210">
        <f>S97-5</f>
        <v>127</v>
      </c>
      <c r="T98" s="210" t="s">
        <v>5701</v>
      </c>
      <c r="U98" s="210">
        <v>1751</v>
      </c>
      <c r="V98" s="97">
        <f t="shared" si="38"/>
        <v>1948.2057753424658</v>
      </c>
      <c r="W98" s="32">
        <f t="shared" si="46"/>
        <v>1987.1698908493152</v>
      </c>
      <c r="X98" s="32">
        <f t="shared" si="47"/>
        <v>2026.1340063561645</v>
      </c>
      <c r="Y98">
        <v>4667</v>
      </c>
      <c r="AH98" s="97">
        <v>78</v>
      </c>
      <c r="AI98" s="111" t="s">
        <v>4476</v>
      </c>
      <c r="AJ98" s="111">
        <v>6400000</v>
      </c>
      <c r="AK98" s="97">
        <v>1</v>
      </c>
      <c r="AL98" s="97">
        <f t="shared" si="43"/>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106896832</v>
      </c>
      <c r="R99" s="210" t="s">
        <v>5703</v>
      </c>
      <c r="S99" s="210">
        <f>S98-36</f>
        <v>91</v>
      </c>
      <c r="T99" s="210" t="s">
        <v>5704</v>
      </c>
      <c r="U99" s="210">
        <v>1715</v>
      </c>
      <c r="V99" s="97">
        <f t="shared" si="38"/>
        <v>1860.7890958904111</v>
      </c>
      <c r="W99" s="32">
        <f t="shared" ref="W99" si="48">V99*(1+$W$19/100)</f>
        <v>1898.0048778082194</v>
      </c>
      <c r="X99" s="32">
        <f t="shared" ref="X99" si="49">V99*(1+$X$19/100)</f>
        <v>1935.2206597260276</v>
      </c>
      <c r="Y99" s="94">
        <v>62100</v>
      </c>
      <c r="Z99" t="s">
        <v>25</v>
      </c>
      <c r="AH99" s="97">
        <v>79</v>
      </c>
      <c r="AI99" s="111" t="s">
        <v>4474</v>
      </c>
      <c r="AJ99" s="111">
        <v>5000</v>
      </c>
      <c r="AK99" s="97">
        <v>5</v>
      </c>
      <c r="AL99" s="97">
        <f t="shared" si="43"/>
        <v>726</v>
      </c>
      <c r="AM99" s="115">
        <f t="shared" si="10"/>
        <v>3630000</v>
      </c>
      <c r="AN99" s="97"/>
      <c r="AP99" t="s">
        <v>25</v>
      </c>
    </row>
    <row r="100" spans="4:47">
      <c r="D100" s="2" t="s">
        <v>6</v>
      </c>
      <c r="E100" s="3">
        <f>SUM(E77:E98)</f>
        <v>3383333</v>
      </c>
      <c r="F100" s="197">
        <f>$L$108/G100</f>
        <v>9750</v>
      </c>
      <c r="G100" s="197">
        <f>P45</f>
        <v>1200</v>
      </c>
      <c r="H100" s="197" t="s">
        <v>4715</v>
      </c>
      <c r="I100" s="197" t="s">
        <v>5326</v>
      </c>
      <c r="J100" s="211" t="s">
        <v>4220</v>
      </c>
      <c r="K100" s="197">
        <v>210</v>
      </c>
      <c r="L100" s="212">
        <f t="shared" ref="L100:L105" si="50">K100*$L$108</f>
        <v>2457000000</v>
      </c>
      <c r="M100" s="212">
        <f>N21+N28+N45+N41</f>
        <v>8461972800</v>
      </c>
      <c r="N100" s="181">
        <f t="shared" ref="N100:N105" si="51">L100-M100</f>
        <v>-6004972800</v>
      </c>
      <c r="P100" s="94"/>
      <c r="Q100" s="167">
        <v>455942528</v>
      </c>
      <c r="R100" s="210" t="s">
        <v>5705</v>
      </c>
      <c r="S100" s="210">
        <f>S99-1</f>
        <v>90</v>
      </c>
      <c r="T100" s="210" t="s">
        <v>5707</v>
      </c>
      <c r="U100" s="210">
        <v>1631</v>
      </c>
      <c r="V100" s="97">
        <f t="shared" si="38"/>
        <v>1768.3972273972606</v>
      </c>
      <c r="W100" s="32">
        <f t="shared" ref="W100:W101" si="52">V100*(1+$W$19/100)</f>
        <v>1803.7651719452058</v>
      </c>
      <c r="X100" s="32">
        <f t="shared" ref="X100:X101" si="53">V100*(1+$X$19/100)</f>
        <v>1839.1331164931512</v>
      </c>
      <c r="Y100">
        <v>278514</v>
      </c>
      <c r="AA100" t="s">
        <v>25</v>
      </c>
      <c r="AH100" s="97">
        <v>80</v>
      </c>
      <c r="AI100" s="111" t="s">
        <v>4505</v>
      </c>
      <c r="AJ100" s="111">
        <v>-1750148</v>
      </c>
      <c r="AK100" s="97">
        <v>1</v>
      </c>
      <c r="AL100" s="97">
        <f t="shared" si="43"/>
        <v>721</v>
      </c>
      <c r="AM100" s="115">
        <f t="shared" si="10"/>
        <v>-1261856708</v>
      </c>
      <c r="AN100" s="97"/>
    </row>
    <row r="101" spans="4:47">
      <c r="D101" s="2" t="s">
        <v>328</v>
      </c>
      <c r="E101" s="3">
        <f>E100/30</f>
        <v>112777.76666666666</v>
      </c>
      <c r="F101" s="210">
        <v>0</v>
      </c>
      <c r="G101" s="210">
        <f>P44</f>
        <v>22500</v>
      </c>
      <c r="H101" s="210" t="s">
        <v>4877</v>
      </c>
      <c r="I101" s="210" t="s">
        <v>5327</v>
      </c>
      <c r="J101" s="32" t="s">
        <v>4362</v>
      </c>
      <c r="K101" s="210">
        <v>33</v>
      </c>
      <c r="L101" s="1">
        <f t="shared" si="50"/>
        <v>386100000</v>
      </c>
      <c r="M101" s="1">
        <f>N44+N26+N22</f>
        <v>25875000</v>
      </c>
      <c r="N101" s="111">
        <f t="shared" si="51"/>
        <v>360225000</v>
      </c>
      <c r="P101" s="94"/>
      <c r="Q101" s="167">
        <v>834999909.33089697</v>
      </c>
      <c r="R101" s="210" t="s">
        <v>5710</v>
      </c>
      <c r="S101" s="210">
        <f>S100-1</f>
        <v>89</v>
      </c>
      <c r="T101" s="210" t="s">
        <v>5729</v>
      </c>
      <c r="U101" s="210">
        <v>1567.4</v>
      </c>
      <c r="V101" s="97">
        <f t="shared" si="38"/>
        <v>1698.2371046575345</v>
      </c>
      <c r="W101" s="32">
        <f t="shared" si="52"/>
        <v>1732.2018467506853</v>
      </c>
      <c r="X101" s="32">
        <f t="shared" si="53"/>
        <v>1766.1665888438358</v>
      </c>
      <c r="Y101">
        <v>530747</v>
      </c>
      <c r="AH101" s="97">
        <v>81</v>
      </c>
      <c r="AI101" s="111" t="s">
        <v>4508</v>
      </c>
      <c r="AJ101" s="111">
        <v>400000</v>
      </c>
      <c r="AK101" s="97">
        <v>0</v>
      </c>
      <c r="AL101" s="97">
        <f t="shared" si="43"/>
        <v>720</v>
      </c>
      <c r="AM101" s="115">
        <f t="shared" si="10"/>
        <v>288000000</v>
      </c>
      <c r="AN101" s="97"/>
    </row>
    <row r="102" spans="4:47">
      <c r="F102" s="197">
        <v>0</v>
      </c>
      <c r="G102" s="197">
        <f>P43</f>
        <v>16350</v>
      </c>
      <c r="H102" s="197" t="s">
        <v>4995</v>
      </c>
      <c r="I102" s="197" t="s">
        <v>5328</v>
      </c>
      <c r="J102" s="211" t="s">
        <v>4358</v>
      </c>
      <c r="K102" s="197">
        <v>0</v>
      </c>
      <c r="L102" s="212">
        <f t="shared" si="50"/>
        <v>0</v>
      </c>
      <c r="M102" s="212">
        <f>N43+N23</f>
        <v>351001800</v>
      </c>
      <c r="N102" s="181">
        <f t="shared" si="51"/>
        <v>-351001800</v>
      </c>
      <c r="P102" s="94"/>
      <c r="Q102" s="167"/>
      <c r="R102" s="210" t="s">
        <v>5730</v>
      </c>
      <c r="S102" s="210">
        <f>S101-13</f>
        <v>76</v>
      </c>
      <c r="T102" s="210" t="s">
        <v>5731</v>
      </c>
      <c r="U102" s="210"/>
      <c r="V102" s="97">
        <f t="shared" si="38"/>
        <v>0</v>
      </c>
      <c r="W102" s="32">
        <f t="shared" ref="W102:W105" si="54">V102*(1+$W$19/100)</f>
        <v>0</v>
      </c>
      <c r="X102" s="32">
        <f t="shared" ref="X102:X105" si="55">V102*(1+$X$19/100)</f>
        <v>0</v>
      </c>
      <c r="Y102" s="94">
        <v>83532</v>
      </c>
      <c r="Z102" s="94"/>
      <c r="AA102" s="94"/>
      <c r="AH102" s="97">
        <v>82</v>
      </c>
      <c r="AI102" s="111" t="s">
        <v>4508</v>
      </c>
      <c r="AJ102" s="111">
        <v>-2105421</v>
      </c>
      <c r="AK102" s="97">
        <v>1</v>
      </c>
      <c r="AL102" s="97">
        <f t="shared" si="43"/>
        <v>720</v>
      </c>
      <c r="AM102" s="115">
        <f t="shared" si="10"/>
        <v>-1515903120</v>
      </c>
      <c r="AN102" s="97"/>
      <c r="AO102" t="s">
        <v>25</v>
      </c>
    </row>
    <row r="103" spans="4:47">
      <c r="F103" s="187"/>
      <c r="G103" s="187"/>
      <c r="H103" s="187"/>
      <c r="I103" s="187"/>
      <c r="J103" s="277" t="s">
        <v>5329</v>
      </c>
      <c r="K103" s="187">
        <v>0</v>
      </c>
      <c r="L103" s="278">
        <f t="shared" si="50"/>
        <v>0</v>
      </c>
      <c r="M103" s="278">
        <f>N20+N25+N39</f>
        <v>6501</v>
      </c>
      <c r="N103" s="186">
        <f t="shared" si="51"/>
        <v>-6501</v>
      </c>
      <c r="P103" s="94"/>
      <c r="Q103" s="167" t="s">
        <v>25</v>
      </c>
      <c r="R103" s="210" t="s">
        <v>5732</v>
      </c>
      <c r="S103" s="210">
        <f>S102-1</f>
        <v>75</v>
      </c>
      <c r="T103" s="210" t="s">
        <v>5733</v>
      </c>
      <c r="U103" s="210"/>
      <c r="V103" s="97">
        <f t="shared" si="38"/>
        <v>0</v>
      </c>
      <c r="W103" s="32">
        <f t="shared" si="54"/>
        <v>0</v>
      </c>
      <c r="X103" s="32">
        <f t="shared" si="55"/>
        <v>0</v>
      </c>
      <c r="Y103" s="94">
        <v>807014</v>
      </c>
      <c r="Z103" s="94"/>
      <c r="AA103" s="94"/>
      <c r="AH103" s="97">
        <v>83</v>
      </c>
      <c r="AI103" s="111" t="s">
        <v>4511</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50"/>
        <v>11700000</v>
      </c>
      <c r="M104" s="212">
        <v>0</v>
      </c>
      <c r="N104" s="181">
        <f t="shared" si="51"/>
        <v>11700000</v>
      </c>
      <c r="Q104" s="167"/>
      <c r="R104" s="210" t="s">
        <v>5734</v>
      </c>
      <c r="S104" s="210">
        <f>S103-1</f>
        <v>74</v>
      </c>
      <c r="T104" s="210" t="s">
        <v>5792</v>
      </c>
      <c r="U104" s="210"/>
      <c r="V104" s="97">
        <f t="shared" si="38"/>
        <v>0</v>
      </c>
      <c r="W104" s="32">
        <f t="shared" si="54"/>
        <v>0</v>
      </c>
      <c r="X104" s="32">
        <f t="shared" si="55"/>
        <v>0</v>
      </c>
      <c r="Y104" s="94">
        <v>399790</v>
      </c>
      <c r="Z104" s="94"/>
      <c r="AA104" s="94"/>
      <c r="AH104" s="97">
        <v>84</v>
      </c>
      <c r="AI104" s="111" t="s">
        <v>4511</v>
      </c>
      <c r="AJ104" s="111">
        <v>3900000</v>
      </c>
      <c r="AK104" s="97">
        <v>3</v>
      </c>
      <c r="AL104" s="97">
        <f t="shared" si="43"/>
        <v>719</v>
      </c>
      <c r="AM104" s="115">
        <f t="shared" si="10"/>
        <v>2804100000</v>
      </c>
      <c r="AN104" s="97"/>
    </row>
    <row r="105" spans="4:47">
      <c r="F105" s="189"/>
      <c r="G105" s="189"/>
      <c r="H105" s="189"/>
      <c r="I105" s="189"/>
      <c r="J105" s="249" t="s">
        <v>5439</v>
      </c>
      <c r="K105" s="189">
        <v>556</v>
      </c>
      <c r="L105" s="250">
        <f t="shared" si="50"/>
        <v>6505200000</v>
      </c>
      <c r="M105" s="250">
        <v>0</v>
      </c>
      <c r="N105" s="84">
        <f t="shared" si="51"/>
        <v>6505200000</v>
      </c>
      <c r="P105" t="s">
        <v>25</v>
      </c>
      <c r="Q105" s="167"/>
      <c r="R105" s="210" t="s">
        <v>5755</v>
      </c>
      <c r="S105" s="210">
        <f>S104-26</f>
        <v>48</v>
      </c>
      <c r="T105" s="210" t="s">
        <v>5762</v>
      </c>
      <c r="U105" s="210"/>
      <c r="V105" s="97">
        <f t="shared" si="38"/>
        <v>0</v>
      </c>
      <c r="W105" s="32">
        <f t="shared" si="54"/>
        <v>0</v>
      </c>
      <c r="X105" s="32">
        <f t="shared" si="55"/>
        <v>0</v>
      </c>
      <c r="Y105" s="94"/>
      <c r="Z105" s="94"/>
      <c r="AA105" s="94">
        <v>4249</v>
      </c>
      <c r="AH105" s="97">
        <v>85</v>
      </c>
      <c r="AI105" s="111" t="s">
        <v>4512</v>
      </c>
      <c r="AJ105" s="111">
        <v>-3969754</v>
      </c>
      <c r="AK105" s="97">
        <v>1</v>
      </c>
      <c r="AL105" s="97">
        <f t="shared" si="43"/>
        <v>716</v>
      </c>
      <c r="AM105" s="115">
        <f t="shared" si="10"/>
        <v>-2842343864</v>
      </c>
      <c r="AN105" s="97"/>
    </row>
    <row r="106" spans="4:47">
      <c r="F106" s="210"/>
      <c r="G106" s="210"/>
      <c r="H106" s="210"/>
      <c r="I106" s="210"/>
      <c r="J106" s="32" t="s">
        <v>4690</v>
      </c>
      <c r="K106" s="210"/>
      <c r="L106" s="1"/>
      <c r="M106" s="1"/>
      <c r="N106" s="111">
        <f>20000000-L40</f>
        <v>99192797</v>
      </c>
      <c r="O106" t="s">
        <v>25</v>
      </c>
      <c r="P106" t="s">
        <v>25</v>
      </c>
      <c r="Q106" s="167"/>
      <c r="R106" s="210" t="s">
        <v>5773</v>
      </c>
      <c r="S106" s="210">
        <f>S105-8</f>
        <v>40</v>
      </c>
      <c r="T106" s="210" t="s">
        <v>5774</v>
      </c>
      <c r="U106" s="210">
        <v>14014</v>
      </c>
      <c r="V106" s="97">
        <f t="shared" si="38"/>
        <v>14657.031430136989</v>
      </c>
      <c r="W106" s="32">
        <f t="shared" ref="W106:W123" si="56">V106*(1+$W$19/100)</f>
        <v>14950.172058739729</v>
      </c>
      <c r="X106" s="32">
        <f t="shared" ref="X106:X123" si="57">V106*(1+$X$19/100)</f>
        <v>15243.31268734247</v>
      </c>
      <c r="Y106" s="94"/>
      <c r="Z106" s="94"/>
      <c r="AA106" s="94">
        <v>1446</v>
      </c>
      <c r="AH106" s="97">
        <v>86</v>
      </c>
      <c r="AI106" s="111" t="s">
        <v>4522</v>
      </c>
      <c r="AJ106" s="111">
        <v>-25574455</v>
      </c>
      <c r="AK106" s="97">
        <v>0</v>
      </c>
      <c r="AL106" s="97">
        <f t="shared" si="43"/>
        <v>715</v>
      </c>
      <c r="AM106" s="115">
        <f t="shared" si="10"/>
        <v>-18285735325</v>
      </c>
      <c r="AN106" s="97"/>
      <c r="AP106" t="s">
        <v>25</v>
      </c>
    </row>
    <row r="107" spans="4:47">
      <c r="F107" s="197"/>
      <c r="G107" s="197"/>
      <c r="H107" s="197"/>
      <c r="I107" s="197"/>
      <c r="J107" s="211" t="s">
        <v>5014</v>
      </c>
      <c r="K107" s="197">
        <f>SUM(K100:K105)</f>
        <v>800</v>
      </c>
      <c r="L107" s="212"/>
      <c r="M107" s="212"/>
      <c r="N107" s="181"/>
      <c r="Q107" s="167" t="s">
        <v>25</v>
      </c>
      <c r="R107" s="210" t="s">
        <v>5790</v>
      </c>
      <c r="S107" s="210">
        <f>S106-13</f>
        <v>27</v>
      </c>
      <c r="T107" s="210" t="s">
        <v>5812</v>
      </c>
      <c r="U107" s="210">
        <v>16700</v>
      </c>
      <c r="V107" s="97">
        <f t="shared" si="38"/>
        <v>17299.735890410961</v>
      </c>
      <c r="W107" s="32">
        <f t="shared" si="56"/>
        <v>17645.730608219179</v>
      </c>
      <c r="X107" s="32">
        <f t="shared" si="57"/>
        <v>17991.725326027401</v>
      </c>
      <c r="Y107" s="94"/>
      <c r="Z107" s="94"/>
      <c r="AA107" s="94">
        <v>175</v>
      </c>
      <c r="AB107" s="94"/>
      <c r="AH107" s="97">
        <v>87</v>
      </c>
      <c r="AI107" s="111" t="s">
        <v>4522</v>
      </c>
      <c r="AJ107" s="111">
        <v>4000000</v>
      </c>
      <c r="AK107" s="97">
        <v>1</v>
      </c>
      <c r="AL107" s="97">
        <f t="shared" si="43"/>
        <v>715</v>
      </c>
      <c r="AM107" s="115">
        <f t="shared" si="10"/>
        <v>2860000000</v>
      </c>
      <c r="AN107" s="97"/>
    </row>
    <row r="108" spans="4:47">
      <c r="F108" s="210"/>
      <c r="G108" s="210"/>
      <c r="H108" s="210" t="s">
        <v>25</v>
      </c>
      <c r="I108" s="210"/>
      <c r="J108" s="32"/>
      <c r="K108" s="210">
        <v>0</v>
      </c>
      <c r="L108" s="39">
        <f>10*P47</f>
        <v>11700000</v>
      </c>
      <c r="M108" s="1">
        <f>K108*L108</f>
        <v>0</v>
      </c>
      <c r="N108" s="111">
        <f>SUM(N100:N106)-M108</f>
        <v>620336696</v>
      </c>
      <c r="P108" s="112"/>
      <c r="Q108" s="167"/>
      <c r="R108" s="210" t="s">
        <v>5798</v>
      </c>
      <c r="S108" s="210">
        <f>S107-6</f>
        <v>21</v>
      </c>
      <c r="T108" s="210" t="s">
        <v>5799</v>
      </c>
      <c r="U108" s="210">
        <v>1500</v>
      </c>
      <c r="V108" s="97">
        <f t="shared" si="38"/>
        <v>1546.9643835616439</v>
      </c>
      <c r="W108" s="32">
        <f t="shared" si="56"/>
        <v>1577.9036712328768</v>
      </c>
      <c r="X108" s="32">
        <f t="shared" si="57"/>
        <v>1608.8429589041098</v>
      </c>
      <c r="Y108" s="94">
        <v>268413</v>
      </c>
      <c r="Z108" s="94"/>
      <c r="AA108" s="94"/>
      <c r="AB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5800</v>
      </c>
      <c r="S109" s="210">
        <f>S108-1</f>
        <v>20</v>
      </c>
      <c r="T109" s="210" t="s">
        <v>5801</v>
      </c>
      <c r="U109" s="210">
        <v>1440</v>
      </c>
      <c r="V109" s="97">
        <f t="shared" si="38"/>
        <v>1483.9811506849317</v>
      </c>
      <c r="W109" s="32">
        <f t="shared" si="56"/>
        <v>1513.6607736986302</v>
      </c>
      <c r="X109" s="32">
        <f t="shared" si="57"/>
        <v>1543.340396712329</v>
      </c>
      <c r="Y109" s="94">
        <v>682</v>
      </c>
      <c r="Z109" s="94"/>
      <c r="AA109" s="94"/>
      <c r="AD109" s="94"/>
      <c r="AE109"/>
      <c r="AF109"/>
      <c r="AH109" s="97">
        <v>89</v>
      </c>
      <c r="AI109" s="111" t="s">
        <v>4526</v>
      </c>
      <c r="AJ109" s="111">
        <v>10000000</v>
      </c>
      <c r="AK109" s="97">
        <v>4</v>
      </c>
      <c r="AL109" s="97">
        <f t="shared" si="43"/>
        <v>712</v>
      </c>
      <c r="AM109" s="115">
        <f t="shared" si="10"/>
        <v>7120000000</v>
      </c>
      <c r="AN109" s="97"/>
    </row>
    <row r="110" spans="4:47">
      <c r="F110" s="210"/>
      <c r="G110" s="210"/>
      <c r="H110" s="210"/>
      <c r="I110" s="210"/>
      <c r="J110" s="32" t="s">
        <v>4609</v>
      </c>
      <c r="K110" s="210"/>
      <c r="L110" s="1"/>
      <c r="M110" s="1"/>
      <c r="N110" s="111"/>
      <c r="Q110" s="167"/>
      <c r="R110" s="210" t="s">
        <v>5802</v>
      </c>
      <c r="S110" s="210">
        <f>S109-1</f>
        <v>19</v>
      </c>
      <c r="T110" s="210" t="s">
        <v>5803</v>
      </c>
      <c r="U110" s="210">
        <v>1362</v>
      </c>
      <c r="V110" s="97">
        <f t="shared" si="38"/>
        <v>1402.5540164383563</v>
      </c>
      <c r="W110" s="32">
        <f t="shared" si="56"/>
        <v>1430.6050967671233</v>
      </c>
      <c r="X110" s="32">
        <f t="shared" si="57"/>
        <v>1458.6561770958906</v>
      </c>
      <c r="Y110" s="94">
        <v>99554</v>
      </c>
      <c r="Z110" s="94"/>
      <c r="AA110" s="94"/>
      <c r="AC110" t="s">
        <v>25</v>
      </c>
      <c r="AH110" s="97">
        <v>90</v>
      </c>
      <c r="AI110" s="111" t="s">
        <v>4528</v>
      </c>
      <c r="AJ110" s="111">
        <v>-5241937</v>
      </c>
      <c r="AK110" s="97">
        <v>0</v>
      </c>
      <c r="AL110" s="97">
        <f t="shared" si="43"/>
        <v>708</v>
      </c>
      <c r="AM110" s="115">
        <f t="shared" si="10"/>
        <v>-3711291396</v>
      </c>
      <c r="AN110" s="97"/>
    </row>
    <row r="111" spans="4:47">
      <c r="M111" t="s">
        <v>25</v>
      </c>
      <c r="Q111" s="167"/>
      <c r="R111" s="210" t="s">
        <v>5810</v>
      </c>
      <c r="S111" s="210">
        <f>S110-1</f>
        <v>18</v>
      </c>
      <c r="T111" s="210" t="s">
        <v>5811</v>
      </c>
      <c r="U111" s="210">
        <v>1330</v>
      </c>
      <c r="V111" s="97">
        <f t="shared" si="38"/>
        <v>1368.5809315068493</v>
      </c>
      <c r="W111" s="32">
        <f t="shared" si="56"/>
        <v>1395.9525501369862</v>
      </c>
      <c r="X111" s="32">
        <f t="shared" si="57"/>
        <v>1423.3241687671234</v>
      </c>
      <c r="Y111" s="94">
        <v>11986</v>
      </c>
      <c r="Z111" s="94"/>
      <c r="AA111" s="94"/>
      <c r="AH111" s="97">
        <v>91</v>
      </c>
      <c r="AI111" s="111" t="s">
        <v>4528</v>
      </c>
      <c r="AJ111" s="111">
        <v>21900000</v>
      </c>
      <c r="AK111" s="97">
        <v>2</v>
      </c>
      <c r="AL111" s="97">
        <f t="shared" si="43"/>
        <v>708</v>
      </c>
      <c r="AM111" s="115">
        <f t="shared" si="10"/>
        <v>15505200000</v>
      </c>
      <c r="AN111" s="97"/>
      <c r="AP111" t="s">
        <v>25</v>
      </c>
      <c r="AU111"/>
    </row>
    <row r="112" spans="4:47">
      <c r="G112" s="94" t="s">
        <v>25</v>
      </c>
      <c r="H112" s="94"/>
      <c r="I112" s="94"/>
      <c r="J112" s="94"/>
      <c r="P112" s="112"/>
      <c r="Q112" s="167"/>
      <c r="R112" s="210" t="s">
        <v>5818</v>
      </c>
      <c r="S112" s="210">
        <f>S111-4</f>
        <v>14</v>
      </c>
      <c r="T112" s="210" t="s">
        <v>5819</v>
      </c>
      <c r="U112" s="210">
        <v>1390</v>
      </c>
      <c r="V112" s="97">
        <f t="shared" si="38"/>
        <v>1426.0562191780825</v>
      </c>
      <c r="W112" s="32">
        <f t="shared" si="56"/>
        <v>1454.5773435616443</v>
      </c>
      <c r="X112" s="32">
        <f t="shared" si="57"/>
        <v>1483.0984679452058</v>
      </c>
      <c r="Y112" s="94">
        <v>74000</v>
      </c>
      <c r="Z112" s="94"/>
      <c r="AH112" s="97">
        <v>92</v>
      </c>
      <c r="AI112" s="111" t="s">
        <v>4535</v>
      </c>
      <c r="AJ112" s="111">
        <v>-15000000</v>
      </c>
      <c r="AK112" s="97">
        <v>0</v>
      </c>
      <c r="AL112" s="97">
        <f t="shared" si="43"/>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5820</v>
      </c>
      <c r="S113" s="210">
        <f>S112-1</f>
        <v>13</v>
      </c>
      <c r="T113" s="210" t="s">
        <v>5821</v>
      </c>
      <c r="U113" s="210">
        <v>1350</v>
      </c>
      <c r="V113" s="97">
        <f t="shared" si="38"/>
        <v>1383.9830136986302</v>
      </c>
      <c r="W113" s="32">
        <f t="shared" si="56"/>
        <v>1411.6626739726028</v>
      </c>
      <c r="X113" s="32">
        <f t="shared" si="57"/>
        <v>1439.3423342465755</v>
      </c>
      <c r="Y113" s="94">
        <v>78520</v>
      </c>
      <c r="Z113" s="94"/>
      <c r="AA113" s="94"/>
      <c r="AH113" s="97">
        <v>93</v>
      </c>
      <c r="AI113" s="111" t="s">
        <v>4535</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5822</v>
      </c>
      <c r="S114" s="210">
        <f>S113-2</f>
        <v>11</v>
      </c>
      <c r="T114" s="210" t="s">
        <v>5823</v>
      </c>
      <c r="U114" s="210">
        <v>1228</v>
      </c>
      <c r="V114" s="97">
        <f t="shared" si="38"/>
        <v>1257.027901369863</v>
      </c>
      <c r="W114" s="32">
        <f t="shared" si="56"/>
        <v>1282.1684593972602</v>
      </c>
      <c r="X114" s="32">
        <f t="shared" si="57"/>
        <v>1307.3090174246577</v>
      </c>
      <c r="Y114" s="94">
        <v>377107</v>
      </c>
      <c r="Z114" s="94"/>
      <c r="AA114" s="94"/>
      <c r="AH114" s="97">
        <v>94</v>
      </c>
      <c r="AI114" s="111" t="s">
        <v>4538</v>
      </c>
      <c r="AJ114" s="111">
        <v>-2103736</v>
      </c>
      <c r="AK114" s="97">
        <v>0</v>
      </c>
      <c r="AL114" s="97">
        <f t="shared" si="43"/>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5822</v>
      </c>
      <c r="S115" s="210">
        <f>S114</f>
        <v>11</v>
      </c>
      <c r="T115" s="210" t="s">
        <v>5824</v>
      </c>
      <c r="U115" s="210">
        <v>15187</v>
      </c>
      <c r="V115" s="97">
        <f t="shared" si="38"/>
        <v>15545.995715068493</v>
      </c>
      <c r="W115" s="32">
        <f t="shared" si="56"/>
        <v>15856.915629369863</v>
      </c>
      <c r="X115" s="32">
        <f t="shared" si="57"/>
        <v>16167.835543671234</v>
      </c>
      <c r="Y115" s="94"/>
      <c r="Z115" s="94"/>
      <c r="AA115" s="94">
        <v>2578</v>
      </c>
      <c r="AH115" s="97">
        <v>95</v>
      </c>
      <c r="AI115" s="111" t="s">
        <v>4538</v>
      </c>
      <c r="AJ115" s="111">
        <v>220000</v>
      </c>
      <c r="AK115" s="97">
        <v>3</v>
      </c>
      <c r="AL115" s="97">
        <f t="shared" si="43"/>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5829</v>
      </c>
      <c r="S116" s="210">
        <f>S115-4</f>
        <v>7</v>
      </c>
      <c r="T116" s="210" t="s">
        <v>5831</v>
      </c>
      <c r="U116" s="210">
        <v>1325</v>
      </c>
      <c r="V116" s="97">
        <f t="shared" si="38"/>
        <v>1352.2550684931509</v>
      </c>
      <c r="W116" s="32">
        <f t="shared" si="56"/>
        <v>1379.3001698630139</v>
      </c>
      <c r="X116" s="32">
        <f t="shared" si="57"/>
        <v>1406.3452712328769</v>
      </c>
      <c r="Y116" s="94">
        <v>7170</v>
      </c>
      <c r="Z116" s="94"/>
      <c r="AA116" s="94"/>
      <c r="AH116" s="97">
        <v>96</v>
      </c>
      <c r="AI116" s="111" t="s">
        <v>4547</v>
      </c>
      <c r="AJ116" s="111">
        <v>4000000</v>
      </c>
      <c r="AK116" s="97">
        <v>1</v>
      </c>
      <c r="AL116" s="97">
        <f t="shared" si="43"/>
        <v>702</v>
      </c>
      <c r="AM116" s="115">
        <f t="shared" si="10"/>
        <v>2808000000</v>
      </c>
      <c r="AN116" s="97"/>
    </row>
    <row r="117" spans="6:46">
      <c r="F117" s="94"/>
      <c r="G117" s="97"/>
      <c r="H117" s="97" t="s">
        <v>5755</v>
      </c>
      <c r="I117" s="91" t="s">
        <v>5763</v>
      </c>
      <c r="J117" s="1">
        <v>260000000</v>
      </c>
      <c r="K117" s="318" t="s">
        <v>4358</v>
      </c>
      <c r="L117" s="167">
        <v>1100000</v>
      </c>
      <c r="M117" s="167">
        <v>4300000</v>
      </c>
      <c r="N117" s="166">
        <f t="shared" si="58"/>
        <v>290.90909090909093</v>
      </c>
      <c r="Q117" s="167"/>
      <c r="R117" s="210" t="s">
        <v>5833</v>
      </c>
      <c r="S117" s="210">
        <f>S116-1</f>
        <v>6</v>
      </c>
      <c r="T117" s="210" t="s">
        <v>5853</v>
      </c>
      <c r="U117" s="210">
        <v>1285</v>
      </c>
      <c r="V117" s="97">
        <f t="shared" si="38"/>
        <v>1310.4465205479453</v>
      </c>
      <c r="W117" s="32">
        <f t="shared" si="56"/>
        <v>1336.6554509589041</v>
      </c>
      <c r="X117" s="32">
        <f t="shared" si="57"/>
        <v>1362.8643813698632</v>
      </c>
      <c r="Y117" s="94">
        <v>822229</v>
      </c>
      <c r="Z117" s="94"/>
      <c r="AA117" s="94"/>
      <c r="AH117" s="97">
        <v>97</v>
      </c>
      <c r="AI117" s="111" t="s">
        <v>4551</v>
      </c>
      <c r="AJ117" s="111">
        <v>-9000000</v>
      </c>
      <c r="AK117" s="97">
        <v>0</v>
      </c>
      <c r="AL117" s="97">
        <f t="shared" si="43"/>
        <v>701</v>
      </c>
      <c r="AM117" s="115">
        <f t="shared" si="10"/>
        <v>-6309000000</v>
      </c>
      <c r="AN117" s="97"/>
      <c r="AP117" t="s">
        <v>25</v>
      </c>
    </row>
    <row r="118" spans="6:46">
      <c r="F118" s="94"/>
      <c r="G118" s="97">
        <f>P45</f>
        <v>1200</v>
      </c>
      <c r="H118" s="97" t="s">
        <v>4220</v>
      </c>
      <c r="I118" s="97">
        <v>102500</v>
      </c>
      <c r="J118" s="1">
        <f>I118*G118</f>
        <v>123000000</v>
      </c>
      <c r="K118" s="319" t="s">
        <v>4375</v>
      </c>
      <c r="L118" s="167">
        <v>1100000</v>
      </c>
      <c r="M118" s="167">
        <v>3191000</v>
      </c>
      <c r="N118" s="166">
        <f t="shared" si="58"/>
        <v>190.09090909090909</v>
      </c>
      <c r="Q118" s="167"/>
      <c r="R118" s="210" t="s">
        <v>5833</v>
      </c>
      <c r="S118" s="210">
        <f>S117</f>
        <v>6</v>
      </c>
      <c r="T118" s="210" t="s">
        <v>5836</v>
      </c>
      <c r="U118" s="210">
        <v>16220</v>
      </c>
      <c r="V118" s="97">
        <f t="shared" si="38"/>
        <v>16541.200438356165</v>
      </c>
      <c r="W118" s="32">
        <f t="shared" si="56"/>
        <v>16872.024447123287</v>
      </c>
      <c r="X118" s="32">
        <f t="shared" si="57"/>
        <v>17202.848455890413</v>
      </c>
      <c r="Z118" s="94"/>
      <c r="AA118" s="94">
        <v>4570</v>
      </c>
      <c r="AH118" s="97">
        <v>98</v>
      </c>
      <c r="AI118" s="111" t="s">
        <v>4551</v>
      </c>
      <c r="AJ118" s="111">
        <v>13900000</v>
      </c>
      <c r="AK118" s="97">
        <v>2</v>
      </c>
      <c r="AL118" s="97">
        <f t="shared" si="43"/>
        <v>701</v>
      </c>
      <c r="AM118" s="115">
        <f t="shared" si="10"/>
        <v>9743900000</v>
      </c>
      <c r="AN118" s="97"/>
    </row>
    <row r="119" spans="6:46">
      <c r="F119" s="94"/>
      <c r="G119" s="97">
        <f>P43</f>
        <v>16350</v>
      </c>
      <c r="H119" s="97" t="s">
        <v>4358</v>
      </c>
      <c r="I119" s="97">
        <v>13418</v>
      </c>
      <c r="J119" s="1">
        <f>I119*G119</f>
        <v>219384300</v>
      </c>
      <c r="K119" s="319" t="s">
        <v>4487</v>
      </c>
      <c r="L119" s="167">
        <v>1100000</v>
      </c>
      <c r="M119" s="167">
        <v>5623000</v>
      </c>
      <c r="N119" s="166">
        <f t="shared" si="58"/>
        <v>411.18181818181819</v>
      </c>
      <c r="Q119" s="167"/>
      <c r="R119" s="210" t="s">
        <v>5841</v>
      </c>
      <c r="S119" s="210">
        <f>S118-1</f>
        <v>5</v>
      </c>
      <c r="T119" s="210" t="s">
        <v>5844</v>
      </c>
      <c r="U119" s="210">
        <v>16200</v>
      </c>
      <c r="V119" s="97">
        <f t="shared" si="38"/>
        <v>16508.376986301373</v>
      </c>
      <c r="W119" s="32">
        <f t="shared" si="56"/>
        <v>16838.544526027399</v>
      </c>
      <c r="X119" s="32">
        <f t="shared" si="57"/>
        <v>17168.712065753429</v>
      </c>
      <c r="Y119" s="94"/>
      <c r="Z119" s="94"/>
      <c r="AA119" s="94">
        <v>17</v>
      </c>
      <c r="AH119" s="97">
        <v>99</v>
      </c>
      <c r="AI119" s="111" t="s">
        <v>4556</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5851</v>
      </c>
      <c r="S120" s="210">
        <f>S119-5</f>
        <v>0</v>
      </c>
      <c r="T120" s="210" t="s">
        <v>5852</v>
      </c>
      <c r="U120" s="210">
        <v>16350</v>
      </c>
      <c r="V120" s="97">
        <f t="shared" si="38"/>
        <v>16598.52</v>
      </c>
      <c r="W120" s="32">
        <f t="shared" si="56"/>
        <v>16930.490400000002</v>
      </c>
      <c r="X120" s="32">
        <f t="shared" si="57"/>
        <v>17262.460800000001</v>
      </c>
      <c r="Y120" s="94"/>
      <c r="Z120" s="94"/>
      <c r="AA120" s="94">
        <v>203</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c r="S121" s="210"/>
      <c r="T121" s="210"/>
      <c r="U121" s="210"/>
      <c r="V121" s="97"/>
      <c r="W121" s="32"/>
      <c r="X121" s="32"/>
      <c r="Y121" s="94"/>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82384300</v>
      </c>
      <c r="J122" s="1">
        <v>0</v>
      </c>
      <c r="K122" s="255" t="s">
        <v>1070</v>
      </c>
      <c r="L122" s="167">
        <v>1100000</v>
      </c>
      <c r="M122" s="167">
        <v>3400000</v>
      </c>
      <c r="N122" s="166">
        <f t="shared" si="58"/>
        <v>209.09090909090909</v>
      </c>
      <c r="Q122" s="167" t="s">
        <v>25</v>
      </c>
      <c r="R122" s="210"/>
      <c r="S122" s="210"/>
      <c r="T122" s="210"/>
      <c r="U122" s="210"/>
      <c r="V122" s="97">
        <f t="shared" si="38"/>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 t="shared" si="38"/>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SUM(N41:N47)-SUM(Q94:Q123)</f>
        <v>3582182593.5136547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22500</v>
      </c>
      <c r="H126" s="210" t="s">
        <v>4362</v>
      </c>
      <c r="I126" s="210">
        <v>4386</v>
      </c>
      <c r="J126" s="111">
        <f>G126*I126</f>
        <v>98685000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824477</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2248</v>
      </c>
      <c r="S128" s="1">
        <f>S127*R128/R127</f>
        <v>414790.33905788732</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49339098</v>
      </c>
      <c r="J129" s="210"/>
      <c r="R129" s="32">
        <f>R127-R128</f>
        <v>822229</v>
      </c>
      <c r="S129" s="1">
        <f>R129*S127/R127</f>
        <v>151713810.36175606</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5764</v>
      </c>
      <c r="J132" s="1">
        <v>79922415</v>
      </c>
      <c r="K132" t="s">
        <v>25</v>
      </c>
      <c r="P132" t="s">
        <v>25</v>
      </c>
      <c r="Q132" s="94"/>
      <c r="R132" s="94"/>
      <c r="S132" s="94" t="s">
        <v>25</v>
      </c>
      <c r="T132" s="120">
        <f>V133-V140</f>
        <v>2696983</v>
      </c>
      <c r="U132" s="310" t="s">
        <v>744</v>
      </c>
      <c r="V132" s="310">
        <v>1517230</v>
      </c>
      <c r="W132" s="88">
        <f>V132*$T$444</f>
        <v>3066789364.560956</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2696983</v>
      </c>
      <c r="W133" s="88">
        <f>V133*$T$444</f>
        <v>5451433718.5540094</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1200</v>
      </c>
      <c r="H134" s="210" t="s">
        <v>4220</v>
      </c>
      <c r="I134" s="210">
        <v>241029</v>
      </c>
      <c r="J134" s="1">
        <f>I134*G134</f>
        <v>289234800</v>
      </c>
      <c r="R134" t="s">
        <v>25</v>
      </c>
      <c r="T134" s="94"/>
      <c r="U134" s="310" t="s">
        <v>4410</v>
      </c>
      <c r="V134" s="310">
        <v>51866</v>
      </c>
      <c r="W134" s="88">
        <f>V134*$T$444</f>
        <v>104837168.5125647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22500</v>
      </c>
      <c r="H135" s="210" t="s">
        <v>4362</v>
      </c>
      <c r="I135" s="210">
        <v>2535</v>
      </c>
      <c r="J135" s="1">
        <f>I135*G135</f>
        <v>57037500</v>
      </c>
      <c r="K135" t="s">
        <v>25</v>
      </c>
      <c r="Q135" t="s">
        <v>25</v>
      </c>
      <c r="R135" t="s">
        <v>25</v>
      </c>
      <c r="S135" t="s">
        <v>25</v>
      </c>
      <c r="T135" s="94" t="s">
        <v>25</v>
      </c>
      <c r="U135" s="310" t="s">
        <v>1071</v>
      </c>
      <c r="V135" s="310">
        <v>159774</v>
      </c>
      <c r="W135" s="88">
        <f>V135*$T$444</f>
        <v>322952488.37246966</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266349885</v>
      </c>
      <c r="J137" s="1">
        <f>SUM(J134:J136)</f>
        <v>346272300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4425853</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1200</v>
      </c>
      <c r="H141" s="210" t="s">
        <v>4220</v>
      </c>
      <c r="I141" s="210">
        <v>68595</v>
      </c>
      <c r="J141" s="1">
        <f>G141*I141</f>
        <v>82314000</v>
      </c>
      <c r="K141" s="94"/>
      <c r="L141" s="94"/>
      <c r="M141" s="94"/>
      <c r="N141" s="94"/>
      <c r="O141" s="94"/>
      <c r="Q141" s="94" t="s">
        <v>25</v>
      </c>
      <c r="R141" s="94"/>
      <c r="S141" s="94"/>
      <c r="T141" s="94"/>
      <c r="U141" s="87"/>
      <c r="V141" s="87" t="s">
        <v>4946</v>
      </c>
      <c r="W141" s="140">
        <f>W132-R149</f>
        <v>-2106535.4390439987</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22500</v>
      </c>
      <c r="H142" s="210" t="s">
        <v>4362</v>
      </c>
      <c r="I142" s="210">
        <v>1703</v>
      </c>
      <c r="J142" s="1">
        <f>G142*I142</f>
        <v>38317500</v>
      </c>
      <c r="K142" s="94"/>
      <c r="L142" s="94"/>
      <c r="M142" s="94"/>
      <c r="N142" s="94"/>
      <c r="O142" s="94"/>
      <c r="Q142" s="94"/>
      <c r="R142" s="94"/>
      <c r="S142" s="94"/>
      <c r="T142" s="94"/>
      <c r="U142" s="87"/>
      <c r="V142" s="87" t="s">
        <v>4947</v>
      </c>
      <c r="W142" s="140">
        <f>W135+W134-R150</f>
        <v>40638756.885034382</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84312357</v>
      </c>
      <c r="J143" s="1">
        <f>SUM(J141:J142)</f>
        <v>120631500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5765</v>
      </c>
      <c r="J148" s="1">
        <v>150000000</v>
      </c>
      <c r="P148" s="112"/>
      <c r="Q148" s="36" t="s">
        <v>4520</v>
      </c>
      <c r="R148" s="93">
        <f>SUM(N41:N47)</f>
        <v>5489960700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1200</v>
      </c>
      <c r="H149" s="210" t="s">
        <v>4220</v>
      </c>
      <c r="I149" s="210">
        <v>309254</v>
      </c>
      <c r="J149" s="1">
        <f>G149*I149</f>
        <v>371104800</v>
      </c>
      <c r="P149" s="94"/>
      <c r="Q149" s="97" t="s">
        <v>4412</v>
      </c>
      <c r="R149" s="93">
        <f>SUM(N21:N23)</f>
        <v>3068895900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22500</v>
      </c>
      <c r="H150" s="210" t="s">
        <v>4362</v>
      </c>
      <c r="I150" s="210">
        <v>0</v>
      </c>
      <c r="J150" s="1">
        <f>G150*I150</f>
        <v>0</v>
      </c>
      <c r="Q150" s="97" t="s">
        <v>4413</v>
      </c>
      <c r="R150" s="93">
        <f>SUM(N26:N28)</f>
        <v>387150900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569</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221104800</v>
      </c>
      <c r="J152" s="1">
        <f>SUM(J149:J150)</f>
        <v>371104800</v>
      </c>
      <c r="K152" t="s">
        <v>25</v>
      </c>
      <c r="Q152" s="97" t="s">
        <v>4415</v>
      </c>
      <c r="R152" s="93">
        <f>N20</f>
        <v>5000</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932</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5815</v>
      </c>
      <c r="R156" s="93">
        <v>-1261</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5698</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1200</v>
      </c>
      <c r="H158" s="97" t="s">
        <v>4220</v>
      </c>
      <c r="I158" s="97">
        <v>19848</v>
      </c>
      <c r="J158" s="1">
        <f>G158*I158</f>
        <v>23817600</v>
      </c>
      <c r="N158" s="94"/>
      <c r="O158" s="94"/>
      <c r="P158" s="112"/>
      <c r="Q158" s="97"/>
      <c r="R158" s="93"/>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22500</v>
      </c>
      <c r="H159" s="97" t="s">
        <v>4362</v>
      </c>
      <c r="I159" s="97">
        <v>1150</v>
      </c>
      <c r="J159" s="1">
        <f>G159*I159</f>
        <v>25875000</v>
      </c>
      <c r="N159" s="94"/>
      <c r="O159" s="94"/>
      <c r="P159" s="112"/>
      <c r="Q159" s="97"/>
      <c r="R159" s="93"/>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5081</v>
      </c>
      <c r="R160" s="93">
        <v>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c r="R161" s="93"/>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50892600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4420</v>
      </c>
      <c r="R164" s="93">
        <f>SUM(R148:R163)</f>
        <v>8946012740</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7313517</v>
      </c>
      <c r="H166" s="32" t="s">
        <v>5492</v>
      </c>
      <c r="I166" s="32">
        <f>O22+O26+O44+I150+O41</f>
        <v>48531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450743.25</v>
      </c>
      <c r="H167" s="294" t="s">
        <v>5493</v>
      </c>
      <c r="I167" s="32">
        <f>(J149+N27+N45+N43+N28+N23+N21)/P44</f>
        <v>410416.89333333331</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7764260.25</v>
      </c>
      <c r="H168" s="32" t="s">
        <v>5494</v>
      </c>
      <c r="I168" s="32">
        <f>I166+I167</f>
        <v>458947.89333333331</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356491.38073752867</v>
      </c>
      <c r="H169" s="32" t="s">
        <v>5469</v>
      </c>
      <c r="I169" s="32">
        <f>(W134+W135)/P44</f>
        <v>19012.873639334863</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2555657.8038007966</v>
      </c>
      <c r="H170" s="32" t="s">
        <v>481</v>
      </c>
      <c r="I170" s="32">
        <f>W132/P44</f>
        <v>136301.74953604248</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4852111.0654616747</v>
      </c>
      <c r="H171" s="32" t="s">
        <v>5</v>
      </c>
      <c r="I171" s="32">
        <f>I168-I169-I170</f>
        <v>303633.27015795594</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5690</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5691</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5629</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5634</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5674</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5709</v>
      </c>
      <c r="R214" s="187" t="s">
        <v>5674</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5674</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5694</v>
      </c>
      <c r="R216" s="187" t="s">
        <v>5674</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5693</v>
      </c>
      <c r="R217" s="187" t="s">
        <v>5674</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5712</v>
      </c>
      <c r="R218" s="187" t="s">
        <v>5705</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5795</v>
      </c>
      <c r="R219" s="187" t="s">
        <v>5791</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5805</v>
      </c>
      <c r="R220" s="187" t="s">
        <v>5802</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5806</v>
      </c>
      <c r="R221" s="187" t="s">
        <v>5802</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5813</v>
      </c>
      <c r="R222" s="187" t="s">
        <v>5810</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5813</v>
      </c>
      <c r="R223" s="187" t="s">
        <v>5810</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5816</v>
      </c>
      <c r="R224" s="187" t="s">
        <v>5810</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5826</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5646</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5648</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5650</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5653</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5655</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5658</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5659</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5660</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5629</v>
      </c>
      <c r="AJ239" s="111">
        <v>200000</v>
      </c>
      <c r="AK239" s="97">
        <v>7</v>
      </c>
      <c r="AL239" s="20">
        <f t="shared" si="74"/>
        <v>127</v>
      </c>
      <c r="AM239" s="115">
        <f t="shared" si="75"/>
        <v>25400000</v>
      </c>
      <c r="AN239" s="20"/>
      <c r="AR239" t="s">
        <v>25</v>
      </c>
    </row>
    <row r="240" spans="4:45">
      <c r="G240" s="210" t="s">
        <v>5663</v>
      </c>
      <c r="H240" s="111">
        <v>10561447.246918</v>
      </c>
      <c r="J240" t="s">
        <v>25</v>
      </c>
      <c r="Q240" s="97" t="s">
        <v>4538</v>
      </c>
      <c r="R240" s="93">
        <v>-4000000</v>
      </c>
      <c r="T240" s="210" t="s">
        <v>5012</v>
      </c>
      <c r="U240" s="210">
        <v>300</v>
      </c>
      <c r="V240" s="111">
        <v>400</v>
      </c>
      <c r="W240" s="111">
        <f t="shared" si="62"/>
        <v>120000</v>
      </c>
      <c r="X240" s="36" t="s">
        <v>452</v>
      </c>
      <c r="AH240" s="97">
        <v>220</v>
      </c>
      <c r="AI240" s="111" t="s">
        <v>5634</v>
      </c>
      <c r="AJ240" s="111">
        <v>150000</v>
      </c>
      <c r="AK240" s="97">
        <v>5</v>
      </c>
      <c r="AL240" s="20">
        <f t="shared" si="74"/>
        <v>120</v>
      </c>
      <c r="AM240" s="115">
        <f t="shared" si="75"/>
        <v>18000000</v>
      </c>
      <c r="AN240" s="20"/>
    </row>
    <row r="241" spans="7:44">
      <c r="G241" s="210" t="s">
        <v>5664</v>
      </c>
      <c r="H241" s="111">
        <v>1226811.9176660001</v>
      </c>
      <c r="P241" t="s">
        <v>25</v>
      </c>
      <c r="Q241" s="97" t="s">
        <v>4564</v>
      </c>
      <c r="R241" s="93">
        <v>16727037</v>
      </c>
      <c r="T241" s="210" t="s">
        <v>5021</v>
      </c>
      <c r="U241" s="210">
        <v>782</v>
      </c>
      <c r="V241" s="111">
        <v>409</v>
      </c>
      <c r="W241" s="111">
        <f t="shared" si="62"/>
        <v>319838</v>
      </c>
      <c r="X241" s="36" t="s">
        <v>744</v>
      </c>
      <c r="AH241" s="97">
        <v>221</v>
      </c>
      <c r="AI241" s="111" t="s">
        <v>5638</v>
      </c>
      <c r="AJ241" s="111">
        <v>310000</v>
      </c>
      <c r="AK241" s="97">
        <v>31</v>
      </c>
      <c r="AL241" s="20">
        <f t="shared" si="74"/>
        <v>115</v>
      </c>
      <c r="AM241" s="115">
        <f t="shared" si="75"/>
        <v>35650000</v>
      </c>
      <c r="AN241" s="20"/>
      <c r="AR241" t="s">
        <v>25</v>
      </c>
    </row>
    <row r="242" spans="7:44">
      <c r="G242" s="210" t="s">
        <v>5665</v>
      </c>
      <c r="H242" s="111">
        <v>39373959.190266006</v>
      </c>
      <c r="Q242" s="97" t="s">
        <v>4569</v>
      </c>
      <c r="R242" s="93">
        <v>46460683</v>
      </c>
      <c r="S242" t="s">
        <v>25</v>
      </c>
      <c r="T242" s="210" t="s">
        <v>5025</v>
      </c>
      <c r="U242" s="210">
        <v>1220</v>
      </c>
      <c r="V242" s="111">
        <v>409.9</v>
      </c>
      <c r="W242" s="111">
        <f t="shared" si="62"/>
        <v>500078</v>
      </c>
      <c r="X242" s="36" t="s">
        <v>744</v>
      </c>
      <c r="AH242" s="97">
        <v>222</v>
      </c>
      <c r="AI242" s="111" t="s">
        <v>5674</v>
      </c>
      <c r="AJ242" s="111">
        <v>4200000</v>
      </c>
      <c r="AK242" s="97">
        <v>53</v>
      </c>
      <c r="AL242" s="20">
        <f t="shared" si="74"/>
        <v>84</v>
      </c>
      <c r="AM242" s="115">
        <f t="shared" si="75"/>
        <v>352800000</v>
      </c>
      <c r="AN242" s="20"/>
    </row>
    <row r="243" spans="7:44">
      <c r="G243" s="210" t="s">
        <v>5670</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5755</v>
      </c>
      <c r="AJ243" s="111">
        <v>260000000</v>
      </c>
      <c r="AK243" s="97">
        <v>22</v>
      </c>
      <c r="AL243" s="20">
        <f t="shared" si="74"/>
        <v>31</v>
      </c>
      <c r="AM243" s="115">
        <f t="shared" si="75"/>
        <v>8060000000</v>
      </c>
      <c r="AN243" s="20" t="s">
        <v>5757</v>
      </c>
    </row>
    <row r="244" spans="7:44">
      <c r="G244" s="210" t="s">
        <v>5671</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5791</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5802</v>
      </c>
      <c r="AJ245" s="111">
        <v>70000</v>
      </c>
      <c r="AK245" s="97">
        <v>1</v>
      </c>
      <c r="AL245" s="20">
        <f t="shared" si="74"/>
        <v>2</v>
      </c>
      <c r="AM245" s="115">
        <f t="shared" si="75"/>
        <v>140000</v>
      </c>
      <c r="AN245" s="20"/>
    </row>
    <row r="246" spans="7:44" ht="30">
      <c r="G246" s="210" t="s">
        <v>5673</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5810</v>
      </c>
      <c r="AJ246" s="111">
        <v>330000</v>
      </c>
      <c r="AK246" s="97">
        <v>1</v>
      </c>
      <c r="AL246" s="20">
        <f t="shared" si="74"/>
        <v>1</v>
      </c>
      <c r="AM246" s="115">
        <f t="shared" si="75"/>
        <v>330000</v>
      </c>
      <c r="AN246" s="20"/>
    </row>
    <row r="247" spans="7:44">
      <c r="G247" s="210" t="s">
        <v>5678</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5695</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5699</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5703</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5705</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5710</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5714</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5716</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5720</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5722</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5489961269</v>
      </c>
      <c r="AM256" t="s">
        <v>25</v>
      </c>
    </row>
    <row r="257" spans="7:45">
      <c r="G257" s="210" t="s">
        <v>5724</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4743625518</v>
      </c>
      <c r="AM257" t="s">
        <v>25</v>
      </c>
    </row>
    <row r="258" spans="7:45">
      <c r="G258" s="210" t="s">
        <v>5725</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5727</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4526796301.5153036</v>
      </c>
      <c r="AN259" t="s">
        <v>25</v>
      </c>
    </row>
    <row r="260" spans="7:45" ht="30">
      <c r="G260" s="210" t="s">
        <v>5730</v>
      </c>
      <c r="H260" s="111">
        <v>4524496.4792809999</v>
      </c>
      <c r="Q260" s="97" t="s">
        <v>4943</v>
      </c>
      <c r="R260" s="93">
        <v>850000</v>
      </c>
      <c r="T260" s="210" t="s">
        <v>5108</v>
      </c>
      <c r="U260" s="210">
        <v>12</v>
      </c>
      <c r="V260" s="111">
        <v>481.86</v>
      </c>
      <c r="W260" s="111">
        <f t="shared" si="76"/>
        <v>5782.32</v>
      </c>
      <c r="X260" s="36" t="s">
        <v>5110</v>
      </c>
      <c r="AM260" t="s">
        <v>25</v>
      </c>
    </row>
    <row r="261" spans="7:45">
      <c r="G261" s="210" t="s">
        <v>5732</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5734</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5736</v>
      </c>
      <c r="H263" s="111">
        <v>2868508.1846330003</v>
      </c>
      <c r="Q263" s="97" t="s">
        <v>4967</v>
      </c>
      <c r="R263" s="93">
        <v>150000</v>
      </c>
      <c r="T263" s="187" t="s">
        <v>5135</v>
      </c>
      <c r="U263" s="187">
        <v>3173</v>
      </c>
      <c r="V263" s="186">
        <v>472.7</v>
      </c>
      <c r="W263" s="186">
        <f t="shared" si="76"/>
        <v>1499877.0999999999</v>
      </c>
      <c r="X263" s="275" t="s">
        <v>5263</v>
      </c>
    </row>
    <row r="264" spans="7:45">
      <c r="G264" s="210" t="s">
        <v>5737</v>
      </c>
      <c r="H264" s="111">
        <v>17450393.011856001</v>
      </c>
      <c r="Q264" s="97" t="s">
        <v>4995</v>
      </c>
      <c r="R264" s="93">
        <v>-144950</v>
      </c>
      <c r="T264" s="210" t="s">
        <v>5139</v>
      </c>
      <c r="U264" s="210">
        <v>191</v>
      </c>
      <c r="V264" s="111">
        <v>484.572</v>
      </c>
      <c r="W264" s="111">
        <f t="shared" si="76"/>
        <v>92553.252000000008</v>
      </c>
      <c r="X264" s="36" t="s">
        <v>5140</v>
      </c>
    </row>
    <row r="265" spans="7:45">
      <c r="G265" s="210" t="s">
        <v>5738</v>
      </c>
      <c r="H265" s="111">
        <v>31388943.254850004</v>
      </c>
      <c r="Q265" s="97" t="s">
        <v>5021</v>
      </c>
      <c r="R265" s="93">
        <v>320000</v>
      </c>
      <c r="T265" s="210" t="s">
        <v>5139</v>
      </c>
      <c r="U265" s="210">
        <v>-206</v>
      </c>
      <c r="V265" s="111">
        <v>484.572</v>
      </c>
      <c r="W265" s="111">
        <f t="shared" si="76"/>
        <v>-99821.831999999995</v>
      </c>
      <c r="X265" s="36" t="s">
        <v>5142</v>
      </c>
    </row>
    <row r="266" spans="7:45">
      <c r="G266" s="210" t="s">
        <v>5739</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5741</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883</v>
      </c>
      <c r="AM267" s="97">
        <f>AJ267*AL267</f>
        <v>3139789060</v>
      </c>
      <c r="AN267" s="97" t="s">
        <v>4287</v>
      </c>
      <c r="AS267" t="s">
        <v>25</v>
      </c>
    </row>
    <row r="268" spans="7:45">
      <c r="G268" s="210" t="s">
        <v>5745</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881</v>
      </c>
      <c r="AM268" s="97">
        <f t="shared" ref="AM268:AM296" si="78">AJ268*AL268</f>
        <v>1516057397</v>
      </c>
      <c r="AN268" s="97" t="s">
        <v>4288</v>
      </c>
    </row>
    <row r="269" spans="7:45" ht="21.75" customHeight="1">
      <c r="G269" s="210" t="s">
        <v>5748</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830</v>
      </c>
      <c r="AM269" s="97">
        <f t="shared" si="78"/>
        <v>124500000</v>
      </c>
      <c r="AN269" s="97"/>
    </row>
    <row r="270" spans="7:45">
      <c r="G270" s="210" t="s">
        <v>5750</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827</v>
      </c>
      <c r="AM270" s="97">
        <f t="shared" si="78"/>
        <v>-78565000</v>
      </c>
      <c r="AN270" s="97"/>
    </row>
    <row r="271" spans="7:45">
      <c r="G271" s="210" t="s">
        <v>5751</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819</v>
      </c>
      <c r="AM271" s="97">
        <f t="shared" si="78"/>
        <v>2579850000</v>
      </c>
      <c r="AN271" s="97"/>
      <c r="AR271" t="s">
        <v>25</v>
      </c>
    </row>
    <row r="272" spans="7:45">
      <c r="G272" s="210" t="s">
        <v>5755</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803</v>
      </c>
      <c r="AM272" s="97">
        <f t="shared" si="78"/>
        <v>-52195000</v>
      </c>
      <c r="AN272" s="97"/>
    </row>
    <row r="273" spans="7:40">
      <c r="G273" s="210" t="s">
        <v>5760</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802</v>
      </c>
      <c r="AM273" s="97">
        <f t="shared" si="78"/>
        <v>-76190000</v>
      </c>
      <c r="AN273" s="97"/>
    </row>
    <row r="274" spans="7:40">
      <c r="G274" s="210" t="s">
        <v>5761</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796</v>
      </c>
      <c r="AM274" s="97">
        <f t="shared" si="78"/>
        <v>184672000</v>
      </c>
      <c r="AN274" s="97"/>
    </row>
    <row r="275" spans="7:40">
      <c r="G275" s="210" t="s">
        <v>5773</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789</v>
      </c>
      <c r="AM275" s="97">
        <f t="shared" si="78"/>
        <v>10257000000</v>
      </c>
      <c r="AN275" s="97"/>
    </row>
    <row r="276" spans="7:40">
      <c r="G276" s="210" t="s">
        <v>5776</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787</v>
      </c>
      <c r="AM276" s="97">
        <f t="shared" si="78"/>
        <v>7870000000</v>
      </c>
      <c r="AN276" s="97"/>
    </row>
    <row r="277" spans="7:40">
      <c r="G277" s="210" t="s">
        <v>5780</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784</v>
      </c>
      <c r="AM277" s="97">
        <f t="shared" si="78"/>
        <v>2665600000</v>
      </c>
      <c r="AN277" s="97"/>
    </row>
    <row r="278" spans="7:40">
      <c r="G278" s="210" t="s">
        <v>5790</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775</v>
      </c>
      <c r="AM278" s="97">
        <f t="shared" si="78"/>
        <v>-6770798350</v>
      </c>
      <c r="AN278" s="97"/>
    </row>
    <row r="279" spans="7:40">
      <c r="G279" s="210" t="s">
        <v>5791</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774</v>
      </c>
      <c r="AM279" s="97">
        <f t="shared" si="78"/>
        <v>429570000</v>
      </c>
      <c r="AN279" s="97"/>
    </row>
    <row r="280" spans="7:40">
      <c r="G280" s="210" t="s">
        <v>5793</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769</v>
      </c>
      <c r="AM280" s="97">
        <f t="shared" si="78"/>
        <v>-344748852</v>
      </c>
      <c r="AN280" s="97"/>
    </row>
    <row r="281" spans="7:40">
      <c r="G281" s="210" t="s">
        <v>5797</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763</v>
      </c>
      <c r="AM281" s="97">
        <f t="shared" si="78"/>
        <v>25350675</v>
      </c>
      <c r="AN281" s="97"/>
    </row>
    <row r="282" spans="7:40">
      <c r="G282" s="210" t="s">
        <v>5798</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763</v>
      </c>
      <c r="AM282" s="147">
        <f t="shared" si="78"/>
        <v>3127173049</v>
      </c>
      <c r="AN282" s="147" t="s">
        <v>650</v>
      </c>
    </row>
    <row r="283" spans="7:40">
      <c r="G283" s="210" t="s">
        <v>5800</v>
      </c>
      <c r="H283" s="111">
        <v>984486.34963200008</v>
      </c>
      <c r="Q283" s="97" t="s">
        <v>5650</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761</v>
      </c>
      <c r="AM283" s="147">
        <f t="shared" si="78"/>
        <v>-761000000</v>
      </c>
      <c r="AN283" s="147" t="s">
        <v>650</v>
      </c>
    </row>
    <row r="284" spans="7:40">
      <c r="G284" s="210" t="s">
        <v>5802</v>
      </c>
      <c r="H284" s="111">
        <v>2143469.938015</v>
      </c>
      <c r="O284" t="s">
        <v>25</v>
      </c>
      <c r="Q284" s="97" t="s">
        <v>5650</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754</v>
      </c>
      <c r="AM284" s="147">
        <f t="shared" si="78"/>
        <v>565500000</v>
      </c>
      <c r="AN284" s="147" t="s">
        <v>650</v>
      </c>
    </row>
    <row r="285" spans="7:40">
      <c r="G285" s="210" t="s">
        <v>5818</v>
      </c>
      <c r="H285" s="111">
        <v>3085460.5177150001</v>
      </c>
      <c r="Q285" s="97" t="s">
        <v>5674</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753</v>
      </c>
      <c r="AM285" s="193">
        <f t="shared" si="78"/>
        <v>-454926456</v>
      </c>
      <c r="AN285" s="193" t="s">
        <v>650</v>
      </c>
    </row>
    <row r="286" spans="7:40">
      <c r="G286" s="210" t="s">
        <v>5820</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753</v>
      </c>
      <c r="AM286" s="97">
        <f t="shared" si="78"/>
        <v>-442073499</v>
      </c>
      <c r="AN286" s="97"/>
    </row>
    <row r="287" spans="7:40">
      <c r="G287" s="210" t="s">
        <v>5822</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749</v>
      </c>
      <c r="AM287" s="193">
        <f t="shared" si="78"/>
        <v>-565008899</v>
      </c>
      <c r="AN287" s="193" t="s">
        <v>650</v>
      </c>
    </row>
    <row r="288" spans="7:40">
      <c r="G288" s="210" t="s">
        <v>5829</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749</v>
      </c>
      <c r="AM288" s="97">
        <f t="shared" si="78"/>
        <v>-142024631</v>
      </c>
      <c r="AN288" s="97"/>
    </row>
    <row r="289" spans="7:44">
      <c r="G289" s="210" t="s">
        <v>5833</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734</v>
      </c>
      <c r="AM289" s="193">
        <f t="shared" si="78"/>
        <v>5211400</v>
      </c>
      <c r="AN289" s="193" t="s">
        <v>650</v>
      </c>
    </row>
    <row r="290" spans="7:44">
      <c r="G290" s="210" t="s">
        <v>5841</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734</v>
      </c>
      <c r="AM290" s="20">
        <f t="shared" si="78"/>
        <v>-108560068</v>
      </c>
      <c r="AN290" s="20"/>
    </row>
    <row r="291" spans="7:44">
      <c r="G291" s="210" t="s">
        <v>5851</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731</v>
      </c>
      <c r="AM291" s="193">
        <f t="shared" si="78"/>
        <v>-27193200</v>
      </c>
      <c r="AN291" s="147" t="s">
        <v>650</v>
      </c>
    </row>
    <row r="292" spans="7:44">
      <c r="G292" s="210"/>
      <c r="H292" s="111"/>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727</v>
      </c>
      <c r="AM292" s="20">
        <f t="shared" si="78"/>
        <v>-270681002</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706</v>
      </c>
      <c r="AM293" s="20">
        <f t="shared" si="78"/>
        <v>165953772</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706</v>
      </c>
      <c r="AM294" s="147">
        <f t="shared" si="78"/>
        <v>165953772</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697</v>
      </c>
      <c r="AM295" s="147">
        <f t="shared" si="78"/>
        <v>313650000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697</v>
      </c>
      <c r="AM296" s="20">
        <f t="shared" si="78"/>
        <v>313650000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675</v>
      </c>
      <c r="AM297" s="147">
        <f t="shared" ref="AM297:AM306" si="81">AJ297*AL297</f>
        <v>202500000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675</v>
      </c>
      <c r="AM298" s="119">
        <f t="shared" si="81"/>
        <v>195031800</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672</v>
      </c>
      <c r="AM299" s="119">
        <f t="shared" si="81"/>
        <v>12070793952</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671</v>
      </c>
      <c r="AM300" s="119">
        <f t="shared" si="81"/>
        <v>12321915881</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670</v>
      </c>
      <c r="AM301" s="119">
        <f t="shared" si="81"/>
        <v>15827019390</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665</v>
      </c>
      <c r="AM302" s="119">
        <f t="shared" si="81"/>
        <v>54859911820</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664</v>
      </c>
      <c r="AM303" s="119">
        <f t="shared" si="81"/>
        <v>49572620504</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648</v>
      </c>
      <c r="AM304" s="20">
        <f t="shared" si="81"/>
        <v>430920000</v>
      </c>
      <c r="AN304" s="97"/>
    </row>
    <row r="305" spans="7:40">
      <c r="G305" s="210" t="s">
        <v>6</v>
      </c>
      <c r="H305" s="1">
        <f>SUM(H202:H304)</f>
        <v>1363504101.3143051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648</v>
      </c>
      <c r="AM305" s="193">
        <f t="shared" si="81"/>
        <v>430920000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644</v>
      </c>
      <c r="AM306" s="20">
        <f t="shared" si="81"/>
        <v>1288000000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643</v>
      </c>
      <c r="AM307" s="20">
        <f t="shared" ref="AM307:AM312" si="82">AJ307*AL307</f>
        <v>-1325046175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643</v>
      </c>
      <c r="AM308" s="147">
        <f t="shared" si="82"/>
        <v>-278660125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643</v>
      </c>
      <c r="AM309" s="20">
        <f t="shared" si="82"/>
        <v>18004000000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642</v>
      </c>
      <c r="AM310" s="20">
        <f t="shared" si="82"/>
        <v>102720000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642</v>
      </c>
      <c r="AM311" s="147">
        <f t="shared" si="82"/>
        <v>44940000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633</v>
      </c>
      <c r="AM312" s="20">
        <f t="shared" si="82"/>
        <v>538050000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633</v>
      </c>
      <c r="AM313" s="193">
        <f t="shared" ref="AM313:AM321" si="84">AJ313*AL313</f>
        <v>12660000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629</v>
      </c>
      <c r="AM314" s="193">
        <f t="shared" si="84"/>
        <v>18870000000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602</v>
      </c>
      <c r="AM315" s="20">
        <f t="shared" si="84"/>
        <v>662200000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601</v>
      </c>
      <c r="AM316" s="20">
        <f t="shared" si="84"/>
        <v>270450000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601</v>
      </c>
      <c r="AM317" s="147">
        <f t="shared" si="84"/>
        <v>330550000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600</v>
      </c>
      <c r="AM318" s="147">
        <f t="shared" si="84"/>
        <v>600000000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592</v>
      </c>
      <c r="AM319" s="20">
        <f t="shared" si="84"/>
        <v>-1579976960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592</v>
      </c>
      <c r="AM320" s="147">
        <f t="shared" si="84"/>
        <v>-904943040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592</v>
      </c>
      <c r="AM321" s="20">
        <f t="shared" si="84"/>
        <v>29600000000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588</v>
      </c>
      <c r="AM322" s="20">
        <f t="shared" ref="AM322:AM331" si="86">AJ322*AL322</f>
        <v>235200000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584</v>
      </c>
      <c r="AM323" s="20">
        <f t="shared" si="86"/>
        <v>1168000000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581</v>
      </c>
      <c r="AM324" s="20">
        <f t="shared" si="86"/>
        <v>58100000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577</v>
      </c>
      <c r="AM325" s="20">
        <f t="shared" si="86"/>
        <v>57700000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570</v>
      </c>
      <c r="AM326" s="20">
        <f t="shared" si="86"/>
        <v>28500000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570</v>
      </c>
      <c r="AM327" s="147">
        <f t="shared" si="86"/>
        <v>28500000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567</v>
      </c>
      <c r="AM328" s="20">
        <f t="shared" si="86"/>
        <v>28350000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567</v>
      </c>
      <c r="AM329" s="193">
        <f t="shared" si="86"/>
        <v>28350000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565</v>
      </c>
      <c r="AM330" s="20">
        <f t="shared" si="86"/>
        <v>14125000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565</v>
      </c>
      <c r="AM331" s="147">
        <f t="shared" si="86"/>
        <v>19775000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558</v>
      </c>
      <c r="AM332" s="147">
        <f t="shared" ref="AM332:AM351" si="88">AJ332*AL332</f>
        <v>16740000000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558</v>
      </c>
      <c r="AM333" s="20">
        <f t="shared" si="88"/>
        <v>3794400000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557</v>
      </c>
      <c r="AM334" s="20">
        <f t="shared" si="88"/>
        <v>278500000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556</v>
      </c>
      <c r="AM335" s="20">
        <f t="shared" si="88"/>
        <v>472600000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551</v>
      </c>
      <c r="AM336" s="20">
        <f t="shared" si="88"/>
        <v>622767750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551</v>
      </c>
      <c r="AM337" s="252">
        <f t="shared" si="88"/>
        <v>16530000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546</v>
      </c>
      <c r="AM338" s="20">
        <f t="shared" si="88"/>
        <v>112476000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546</v>
      </c>
      <c r="AM339" s="147">
        <f t="shared" si="88"/>
        <v>112476000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544</v>
      </c>
      <c r="AM340" s="20">
        <f t="shared" si="88"/>
        <v>27200000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544</v>
      </c>
      <c r="AM341" s="252">
        <f t="shared" si="88"/>
        <v>27200000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542</v>
      </c>
      <c r="AM342" s="20">
        <f t="shared" si="88"/>
        <v>10840000000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535</v>
      </c>
      <c r="AM343" s="20">
        <f t="shared" si="88"/>
        <v>26750000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535</v>
      </c>
      <c r="AM344" s="147">
        <f t="shared" si="88"/>
        <v>26750000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528</v>
      </c>
      <c r="AM345" s="20">
        <f t="shared" si="88"/>
        <v>1309440000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528</v>
      </c>
      <c r="AM346" s="147">
        <f t="shared" si="88"/>
        <v>1309440000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516</v>
      </c>
      <c r="AM347" s="20">
        <f t="shared" si="88"/>
        <v>-12466302000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512</v>
      </c>
      <c r="AM348" s="20">
        <f t="shared" si="88"/>
        <v>204800000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509</v>
      </c>
      <c r="AM349" s="147">
        <f t="shared" si="88"/>
        <v>20360000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509</v>
      </c>
      <c r="AM350" s="20">
        <f t="shared" si="88"/>
        <v>20360000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504</v>
      </c>
      <c r="AM351" s="20">
        <f t="shared" si="88"/>
        <v>100800000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503</v>
      </c>
      <c r="AM352" s="20">
        <f t="shared" ref="AM352:AM381" si="91">AJ352*AL352</f>
        <v>251500000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501</v>
      </c>
      <c r="AM353" s="20">
        <f t="shared" si="91"/>
        <v>250500000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498</v>
      </c>
      <c r="AM354" s="20">
        <f t="shared" si="91"/>
        <v>124500000</v>
      </c>
      <c r="AN354" s="20"/>
    </row>
    <row r="355" spans="17:45" ht="30">
      <c r="Q355" s="97" t="s">
        <v>5108</v>
      </c>
      <c r="R355" s="93">
        <v>6022</v>
      </c>
      <c r="T355" s="187" t="s">
        <v>5629</v>
      </c>
      <c r="U355" s="187">
        <v>-66</v>
      </c>
      <c r="V355" s="186">
        <v>3031</v>
      </c>
      <c r="W355" s="186">
        <f t="shared" si="89"/>
        <v>-200046</v>
      </c>
      <c r="X355" s="275" t="s">
        <v>5591</v>
      </c>
      <c r="AH355" s="252">
        <v>89</v>
      </c>
      <c r="AI355" s="252" t="s">
        <v>5017</v>
      </c>
      <c r="AJ355" s="243">
        <v>245000</v>
      </c>
      <c r="AK355" s="252">
        <v>16</v>
      </c>
      <c r="AL355" s="252">
        <f t="shared" si="90"/>
        <v>498</v>
      </c>
      <c r="AM355" s="252">
        <f t="shared" si="91"/>
        <v>122010000</v>
      </c>
      <c r="AN355" s="252"/>
    </row>
    <row r="356" spans="17:45" ht="30">
      <c r="Q356" s="97" t="s">
        <v>5135</v>
      </c>
      <c r="R356" s="93">
        <v>400000</v>
      </c>
      <c r="T356" s="187" t="s">
        <v>5634</v>
      </c>
      <c r="U356" s="187">
        <v>-42</v>
      </c>
      <c r="V356" s="186">
        <v>2883</v>
      </c>
      <c r="W356" s="186">
        <f t="shared" si="89"/>
        <v>-121086</v>
      </c>
      <c r="X356" s="275" t="s">
        <v>5591</v>
      </c>
      <c r="AH356" s="20">
        <v>90</v>
      </c>
      <c r="AI356" s="20" t="s">
        <v>5053</v>
      </c>
      <c r="AJ356" s="115">
        <v>312598</v>
      </c>
      <c r="AK356" s="20">
        <v>0</v>
      </c>
      <c r="AL356" s="20">
        <f t="shared" si="90"/>
        <v>482</v>
      </c>
      <c r="AM356" s="20">
        <f t="shared" si="91"/>
        <v>150672236</v>
      </c>
      <c r="AN356" s="20"/>
    </row>
    <row r="357" spans="17:45">
      <c r="Q357" s="97" t="s">
        <v>5139</v>
      </c>
      <c r="R357" s="93">
        <v>92847</v>
      </c>
      <c r="T357" s="19" t="s">
        <v>5646</v>
      </c>
      <c r="U357" s="19">
        <v>25901</v>
      </c>
      <c r="V357" s="115">
        <v>2258.9090000000001</v>
      </c>
      <c r="W357" s="115">
        <f t="shared" si="89"/>
        <v>58508002.009000003</v>
      </c>
      <c r="X357" s="276" t="s">
        <v>5140</v>
      </c>
      <c r="AH357" s="20">
        <v>91</v>
      </c>
      <c r="AI357" s="20" t="s">
        <v>5053</v>
      </c>
      <c r="AJ357" s="115">
        <v>780000</v>
      </c>
      <c r="AK357" s="20">
        <v>0</v>
      </c>
      <c r="AL357" s="20">
        <f t="shared" si="90"/>
        <v>482</v>
      </c>
      <c r="AM357" s="20">
        <f t="shared" si="91"/>
        <v>375960000</v>
      </c>
      <c r="AN357" s="20"/>
    </row>
    <row r="358" spans="17:45" ht="18" customHeight="1">
      <c r="Q358" s="97" t="s">
        <v>5139</v>
      </c>
      <c r="R358" s="93">
        <v>-100000</v>
      </c>
      <c r="T358" s="19" t="s">
        <v>5648</v>
      </c>
      <c r="U358" s="19">
        <v>951</v>
      </c>
      <c r="V358" s="115">
        <v>2361.2150799999999</v>
      </c>
      <c r="W358" s="115">
        <f t="shared" si="89"/>
        <v>2245515.5410799999</v>
      </c>
      <c r="X358" s="276" t="s">
        <v>5140</v>
      </c>
      <c r="Z358" t="s">
        <v>25</v>
      </c>
      <c r="AH358" s="193">
        <v>92</v>
      </c>
      <c r="AI358" s="193" t="s">
        <v>5053</v>
      </c>
      <c r="AJ358" s="194">
        <v>-300000</v>
      </c>
      <c r="AK358" s="193">
        <v>1</v>
      </c>
      <c r="AL358" s="193">
        <f t="shared" si="90"/>
        <v>482</v>
      </c>
      <c r="AM358" s="193">
        <f t="shared" si="91"/>
        <v>-144600000</v>
      </c>
      <c r="AN358" s="193"/>
      <c r="AS358" t="s">
        <v>25</v>
      </c>
    </row>
    <row r="359" spans="17:45" ht="21" customHeight="1">
      <c r="Q359" s="97" t="s">
        <v>5143</v>
      </c>
      <c r="R359" s="93">
        <v>10000000</v>
      </c>
      <c r="T359" s="19" t="s">
        <v>5650</v>
      </c>
      <c r="U359" s="19">
        <v>7622</v>
      </c>
      <c r="V359" s="115">
        <v>2414.6810999999998</v>
      </c>
      <c r="W359" s="115">
        <f t="shared" si="89"/>
        <v>18404699.3442</v>
      </c>
      <c r="X359" s="276" t="s">
        <v>5140</v>
      </c>
      <c r="AH359" s="20">
        <v>93</v>
      </c>
      <c r="AI359" s="20" t="s">
        <v>5018</v>
      </c>
      <c r="AJ359" s="115">
        <v>300000</v>
      </c>
      <c r="AK359" s="20">
        <v>0</v>
      </c>
      <c r="AL359" s="20">
        <f t="shared" si="90"/>
        <v>481</v>
      </c>
      <c r="AM359" s="20">
        <f t="shared" si="91"/>
        <v>144300000</v>
      </c>
      <c r="AN359" s="20"/>
    </row>
    <row r="360" spans="17:45">
      <c r="Q360" s="97" t="s">
        <v>5148</v>
      </c>
      <c r="R360" s="93">
        <v>-400000</v>
      </c>
      <c r="T360" s="19" t="s">
        <v>5650</v>
      </c>
      <c r="U360" s="19">
        <v>-282</v>
      </c>
      <c r="V360" s="115">
        <v>2414.6810999999998</v>
      </c>
      <c r="W360" s="115">
        <f t="shared" si="89"/>
        <v>-680940.07019999996</v>
      </c>
      <c r="X360" s="276" t="s">
        <v>5651</v>
      </c>
      <c r="AH360" s="20">
        <v>94</v>
      </c>
      <c r="AI360" s="20" t="s">
        <v>5018</v>
      </c>
      <c r="AJ360" s="115">
        <v>8660000</v>
      </c>
      <c r="AK360" s="20">
        <v>8</v>
      </c>
      <c r="AL360" s="20">
        <f t="shared" si="90"/>
        <v>481</v>
      </c>
      <c r="AM360" s="20">
        <f t="shared" si="91"/>
        <v>4165460000</v>
      </c>
      <c r="AN360" s="20"/>
    </row>
    <row r="361" spans="17:45">
      <c r="Q361" s="97" t="s">
        <v>5152</v>
      </c>
      <c r="R361" s="93">
        <v>5649</v>
      </c>
      <c r="T361" s="19" t="s">
        <v>5650</v>
      </c>
      <c r="U361" s="19">
        <v>20162</v>
      </c>
      <c r="V361" s="115">
        <v>2414.6810999999998</v>
      </c>
      <c r="W361" s="115">
        <f t="shared" si="89"/>
        <v>48684800.338199995</v>
      </c>
      <c r="X361" s="276" t="s">
        <v>5652</v>
      </c>
      <c r="AH361" s="147">
        <v>95</v>
      </c>
      <c r="AI361" s="147" t="s">
        <v>5070</v>
      </c>
      <c r="AJ361" s="186">
        <v>200000</v>
      </c>
      <c r="AK361" s="147">
        <v>3</v>
      </c>
      <c r="AL361" s="147">
        <f t="shared" si="90"/>
        <v>473</v>
      </c>
      <c r="AM361" s="147">
        <f t="shared" si="91"/>
        <v>94600000</v>
      </c>
      <c r="AN361" s="147"/>
    </row>
    <row r="362" spans="17:45" ht="18.75" customHeight="1">
      <c r="Q362" s="97" t="s">
        <v>5154</v>
      </c>
      <c r="R362" s="93">
        <v>460000</v>
      </c>
      <c r="T362" s="19" t="s">
        <v>5650</v>
      </c>
      <c r="U362" s="19">
        <v>-20162</v>
      </c>
      <c r="V362" s="115">
        <v>2414.6810999999998</v>
      </c>
      <c r="W362" s="115">
        <f t="shared" si="89"/>
        <v>-48684800.338199995</v>
      </c>
      <c r="X362" s="276" t="s">
        <v>744</v>
      </c>
      <c r="Y362" t="s">
        <v>25</v>
      </c>
      <c r="AH362" s="147">
        <v>96</v>
      </c>
      <c r="AI362" s="147" t="s">
        <v>5073</v>
      </c>
      <c r="AJ362" s="186">
        <v>20000</v>
      </c>
      <c r="AK362" s="147">
        <v>1</v>
      </c>
      <c r="AL362" s="147">
        <f t="shared" si="90"/>
        <v>470</v>
      </c>
      <c r="AM362" s="147">
        <f t="shared" si="91"/>
        <v>9400000</v>
      </c>
      <c r="AN362" s="147"/>
    </row>
    <row r="363" spans="17:45">
      <c r="Q363" s="97" t="s">
        <v>5155</v>
      </c>
      <c r="R363" s="93">
        <v>1300000</v>
      </c>
      <c r="S363" t="s">
        <v>25</v>
      </c>
      <c r="T363" s="19" t="s">
        <v>5653</v>
      </c>
      <c r="U363" s="19">
        <v>977</v>
      </c>
      <c r="V363" s="115">
        <v>2317.971947</v>
      </c>
      <c r="W363" s="115">
        <f t="shared" si="89"/>
        <v>2264658.5922190002</v>
      </c>
      <c r="X363" s="276" t="s">
        <v>5140</v>
      </c>
      <c r="AA363" t="s">
        <v>25</v>
      </c>
      <c r="AH363" s="20">
        <v>97</v>
      </c>
      <c r="AI363" s="20" t="s">
        <v>5083</v>
      </c>
      <c r="AJ363" s="115">
        <v>14340000</v>
      </c>
      <c r="AK363" s="20">
        <v>7</v>
      </c>
      <c r="AL363" s="20">
        <f t="shared" si="90"/>
        <v>469</v>
      </c>
      <c r="AM363" s="20">
        <f t="shared" si="91"/>
        <v>6725460000</v>
      </c>
      <c r="AN363" s="20"/>
    </row>
    <row r="364" spans="17:45">
      <c r="Q364" s="97" t="s">
        <v>5155</v>
      </c>
      <c r="R364" s="93">
        <v>7300000</v>
      </c>
      <c r="T364" s="19" t="s">
        <v>5655</v>
      </c>
      <c r="U364" s="19">
        <v>10280</v>
      </c>
      <c r="V364" s="115">
        <v>2225.429357</v>
      </c>
      <c r="W364" s="115">
        <f t="shared" si="89"/>
        <v>22877413.789960001</v>
      </c>
      <c r="X364" s="276" t="s">
        <v>5140</v>
      </c>
      <c r="AH364" s="20">
        <v>98</v>
      </c>
      <c r="AI364" s="20" t="s">
        <v>5091</v>
      </c>
      <c r="AJ364" s="115">
        <v>10000000</v>
      </c>
      <c r="AK364" s="20">
        <v>6</v>
      </c>
      <c r="AL364" s="20">
        <f t="shared" si="90"/>
        <v>462</v>
      </c>
      <c r="AM364" s="20">
        <f t="shared" si="91"/>
        <v>4620000000</v>
      </c>
      <c r="AN364" s="20" t="s">
        <v>4689</v>
      </c>
    </row>
    <row r="365" spans="17:45">
      <c r="Q365" s="97" t="s">
        <v>977</v>
      </c>
      <c r="R365" s="93">
        <v>21203</v>
      </c>
      <c r="T365" s="19" t="s">
        <v>5658</v>
      </c>
      <c r="U365" s="19">
        <v>1022</v>
      </c>
      <c r="V365" s="115">
        <v>2311.6824240000001</v>
      </c>
      <c r="W365" s="115">
        <f t="shared" si="89"/>
        <v>2362539.4373280001</v>
      </c>
      <c r="X365" s="276" t="s">
        <v>5140</v>
      </c>
      <c r="AH365" s="20">
        <v>99</v>
      </c>
      <c r="AI365" s="20" t="s">
        <v>5096</v>
      </c>
      <c r="AJ365" s="115">
        <v>4033949</v>
      </c>
      <c r="AK365" s="20">
        <v>2</v>
      </c>
      <c r="AL365" s="20">
        <f t="shared" si="90"/>
        <v>456</v>
      </c>
      <c r="AM365" s="20">
        <f t="shared" si="91"/>
        <v>1839480744</v>
      </c>
      <c r="AN365" s="20" t="s">
        <v>5098</v>
      </c>
    </row>
    <row r="366" spans="17:45">
      <c r="Q366" s="97" t="s">
        <v>4257</v>
      </c>
      <c r="R366" s="93">
        <v>34550</v>
      </c>
      <c r="T366" s="19" t="s">
        <v>5659</v>
      </c>
      <c r="U366" s="19">
        <v>6818</v>
      </c>
      <c r="V366" s="115">
        <v>2352.988656</v>
      </c>
      <c r="W366" s="115">
        <f t="shared" si="89"/>
        <v>16042676.656608</v>
      </c>
      <c r="X366" s="276" t="s">
        <v>5140</v>
      </c>
      <c r="Y366" t="s">
        <v>25</v>
      </c>
      <c r="AH366" s="147">
        <v>100</v>
      </c>
      <c r="AI366" s="147" t="s">
        <v>5102</v>
      </c>
      <c r="AJ366" s="186">
        <v>11500000</v>
      </c>
      <c r="AK366" s="147">
        <v>2</v>
      </c>
      <c r="AL366" s="147">
        <f t="shared" si="90"/>
        <v>454</v>
      </c>
      <c r="AM366" s="147">
        <f t="shared" si="91"/>
        <v>5221000000</v>
      </c>
      <c r="AN366" s="147" t="s">
        <v>5104</v>
      </c>
    </row>
    <row r="367" spans="17:45">
      <c r="Q367" s="97" t="s">
        <v>5153</v>
      </c>
      <c r="R367" s="93">
        <v>-2134406</v>
      </c>
      <c r="T367" s="19" t="s">
        <v>5660</v>
      </c>
      <c r="U367" s="19">
        <v>8023</v>
      </c>
      <c r="V367" s="115">
        <v>2293.8167079999998</v>
      </c>
      <c r="W367" s="115">
        <f t="shared" si="89"/>
        <v>18403291.448284</v>
      </c>
      <c r="X367" s="276" t="s">
        <v>5140</v>
      </c>
      <c r="AH367" s="147">
        <v>101</v>
      </c>
      <c r="AI367" s="147" t="s">
        <v>5108</v>
      </c>
      <c r="AJ367" s="186">
        <v>250000</v>
      </c>
      <c r="AK367" s="147">
        <v>3</v>
      </c>
      <c r="AL367" s="147">
        <f t="shared" si="90"/>
        <v>452</v>
      </c>
      <c r="AM367" s="147">
        <f t="shared" si="91"/>
        <v>113000000</v>
      </c>
      <c r="AN367" s="147"/>
    </row>
    <row r="368" spans="17:45">
      <c r="Q368" s="97" t="s">
        <v>5191</v>
      </c>
      <c r="R368" s="93">
        <v>-618906</v>
      </c>
      <c r="T368" s="19" t="s">
        <v>5663</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449</v>
      </c>
      <c r="AM368" s="147">
        <f t="shared" si="91"/>
        <v>2694000000</v>
      </c>
      <c r="AN368" s="147" t="s">
        <v>5104</v>
      </c>
    </row>
    <row r="369" spans="16:45">
      <c r="Q369" s="97" t="s">
        <v>5194</v>
      </c>
      <c r="R369" s="93">
        <v>-54615</v>
      </c>
      <c r="T369" s="19" t="s">
        <v>5664</v>
      </c>
      <c r="U369" s="19">
        <v>542</v>
      </c>
      <c r="V369" s="115">
        <v>2263.4906230000001</v>
      </c>
      <c r="W369" s="115">
        <f t="shared" si="89"/>
        <v>1226811.9176660001</v>
      </c>
      <c r="X369" s="276" t="s">
        <v>5140</v>
      </c>
      <c r="AH369" s="147">
        <v>103</v>
      </c>
      <c r="AI369" s="147" t="s">
        <v>5135</v>
      </c>
      <c r="AJ369" s="186">
        <v>1500000</v>
      </c>
      <c r="AK369" s="147">
        <v>6</v>
      </c>
      <c r="AL369" s="147">
        <f t="shared" si="90"/>
        <v>448</v>
      </c>
      <c r="AM369" s="147">
        <f t="shared" si="91"/>
        <v>672000000</v>
      </c>
      <c r="AN369" s="147" t="s">
        <v>5104</v>
      </c>
    </row>
    <row r="370" spans="16:45">
      <c r="Q370" s="97" t="s">
        <v>5236</v>
      </c>
      <c r="R370" s="93">
        <v>18000000</v>
      </c>
      <c r="T370" s="19" t="s">
        <v>5665</v>
      </c>
      <c r="U370" s="19">
        <v>16629</v>
      </c>
      <c r="V370" s="115">
        <v>2367.7887540000002</v>
      </c>
      <c r="W370" s="115">
        <f t="shared" si="89"/>
        <v>39373959.190266006</v>
      </c>
      <c r="X370" s="276" t="s">
        <v>5140</v>
      </c>
      <c r="AH370" s="20">
        <v>104</v>
      </c>
      <c r="AI370" s="20" t="s">
        <v>960</v>
      </c>
      <c r="AJ370" s="115">
        <v>-3960043</v>
      </c>
      <c r="AK370" s="20">
        <v>2</v>
      </c>
      <c r="AL370" s="20">
        <f t="shared" si="90"/>
        <v>442</v>
      </c>
      <c r="AM370" s="20">
        <f t="shared" si="91"/>
        <v>-1750339006</v>
      </c>
      <c r="AN370" s="20"/>
    </row>
    <row r="371" spans="16:45">
      <c r="Q371" s="97" t="s">
        <v>5283</v>
      </c>
      <c r="R371" s="93">
        <v>20000000</v>
      </c>
      <c r="T371" s="19" t="s">
        <v>5670</v>
      </c>
      <c r="U371" s="19">
        <v>11765</v>
      </c>
      <c r="V371" s="115">
        <v>2354.7375320000001</v>
      </c>
      <c r="W371" s="115">
        <f t="shared" si="89"/>
        <v>27703487.063980002</v>
      </c>
      <c r="X371" s="276" t="s">
        <v>5140</v>
      </c>
      <c r="AH371" s="20">
        <v>105</v>
      </c>
      <c r="AI371" s="20" t="s">
        <v>5154</v>
      </c>
      <c r="AJ371" s="115">
        <v>230000</v>
      </c>
      <c r="AK371" s="20">
        <v>0</v>
      </c>
      <c r="AL371" s="20">
        <f t="shared" si="90"/>
        <v>440</v>
      </c>
      <c r="AM371" s="20">
        <f t="shared" si="91"/>
        <v>101200000</v>
      </c>
      <c r="AN371" s="20"/>
    </row>
    <row r="372" spans="16:45">
      <c r="Q372" s="97" t="s">
        <v>5290</v>
      </c>
      <c r="R372" s="93">
        <v>27694196</v>
      </c>
      <c r="T372" s="19" t="s">
        <v>5671</v>
      </c>
      <c r="U372" s="19">
        <v>3672</v>
      </c>
      <c r="V372" s="115">
        <v>2379.873826</v>
      </c>
      <c r="W372" s="115">
        <f t="shared" si="89"/>
        <v>8738896.6890719999</v>
      </c>
      <c r="X372" s="276" t="s">
        <v>5140</v>
      </c>
      <c r="AH372" s="147">
        <v>106</v>
      </c>
      <c r="AI372" s="147" t="s">
        <v>5154</v>
      </c>
      <c r="AJ372" s="186">
        <v>230000</v>
      </c>
      <c r="AK372" s="147">
        <v>1</v>
      </c>
      <c r="AL372" s="147">
        <f t="shared" si="90"/>
        <v>440</v>
      </c>
      <c r="AM372" s="147">
        <f t="shared" si="91"/>
        <v>101200000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439</v>
      </c>
      <c r="AM373" s="147">
        <f t="shared" si="91"/>
        <v>219500000</v>
      </c>
      <c r="AN373" s="147"/>
    </row>
    <row r="374" spans="16:45">
      <c r="Q374" s="97" t="s">
        <v>5366</v>
      </c>
      <c r="R374" s="93">
        <v>8481864</v>
      </c>
      <c r="T374" s="19" t="s">
        <v>5673</v>
      </c>
      <c r="U374" s="19">
        <v>1616</v>
      </c>
      <c r="V374" s="115">
        <v>2573.0760479999999</v>
      </c>
      <c r="W374" s="115">
        <f t="shared" si="89"/>
        <v>4158090.8935679998</v>
      </c>
      <c r="X374" s="276" t="s">
        <v>5140</v>
      </c>
      <c r="AH374" s="20">
        <v>108</v>
      </c>
      <c r="AI374" s="20" t="s">
        <v>5158</v>
      </c>
      <c r="AJ374" s="115">
        <v>-880000</v>
      </c>
      <c r="AK374" s="20">
        <v>4</v>
      </c>
      <c r="AL374" s="20">
        <f t="shared" si="90"/>
        <v>438</v>
      </c>
      <c r="AM374" s="20">
        <f t="shared" si="91"/>
        <v>-385440000</v>
      </c>
      <c r="AN374" s="20"/>
      <c r="AS374" t="s">
        <v>25</v>
      </c>
    </row>
    <row r="375" spans="16:45">
      <c r="Q375" s="97" t="s">
        <v>5374</v>
      </c>
      <c r="R375" s="93">
        <v>1558697</v>
      </c>
      <c r="T375" s="187" t="s">
        <v>5674</v>
      </c>
      <c r="U375" s="187">
        <v>-2272</v>
      </c>
      <c r="V375" s="186">
        <v>2639.970566</v>
      </c>
      <c r="W375" s="186">
        <f t="shared" si="89"/>
        <v>-5998013.1259519998</v>
      </c>
      <c r="X375" s="275" t="s">
        <v>5685</v>
      </c>
      <c r="AH375" s="193">
        <v>109</v>
      </c>
      <c r="AI375" s="193" t="s">
        <v>5162</v>
      </c>
      <c r="AJ375" s="194">
        <v>873000</v>
      </c>
      <c r="AK375" s="193">
        <v>0</v>
      </c>
      <c r="AL375" s="193">
        <f t="shared" si="90"/>
        <v>434</v>
      </c>
      <c r="AM375" s="193">
        <f t="shared" si="91"/>
        <v>378882000</v>
      </c>
      <c r="AN375" s="193" t="s">
        <v>5104</v>
      </c>
    </row>
    <row r="376" spans="16:45">
      <c r="Q376" s="97" t="s">
        <v>5379</v>
      </c>
      <c r="R376" s="93">
        <v>9042009</v>
      </c>
      <c r="T376" s="19" t="s">
        <v>5674</v>
      </c>
      <c r="U376" s="19">
        <v>2272</v>
      </c>
      <c r="V376" s="115">
        <v>2639.970566</v>
      </c>
      <c r="W376" s="115">
        <f t="shared" si="89"/>
        <v>5998013.1259519998</v>
      </c>
      <c r="X376" s="276" t="s">
        <v>5684</v>
      </c>
      <c r="Z376" t="s">
        <v>25</v>
      </c>
      <c r="AH376" s="20">
        <v>110</v>
      </c>
      <c r="AI376" s="20" t="s">
        <v>5162</v>
      </c>
      <c r="AJ376" s="115">
        <v>127000</v>
      </c>
      <c r="AK376" s="20">
        <v>0</v>
      </c>
      <c r="AL376" s="20">
        <f t="shared" si="90"/>
        <v>434</v>
      </c>
      <c r="AM376" s="20">
        <f t="shared" si="91"/>
        <v>55118000</v>
      </c>
      <c r="AN376" s="20" t="s">
        <v>5104</v>
      </c>
    </row>
    <row r="377" spans="16:45" ht="30">
      <c r="Q377" s="97" t="s">
        <v>5380</v>
      </c>
      <c r="R377" s="93">
        <v>94969</v>
      </c>
      <c r="T377" s="19" t="s">
        <v>5674</v>
      </c>
      <c r="U377" s="19">
        <v>4434</v>
      </c>
      <c r="V377" s="115">
        <v>2639.970566</v>
      </c>
      <c r="W377" s="115">
        <f t="shared" si="89"/>
        <v>11705629.489644</v>
      </c>
      <c r="X377" s="276" t="s">
        <v>5686</v>
      </c>
      <c r="AH377" s="20">
        <v>111</v>
      </c>
      <c r="AI377" s="20" t="s">
        <v>5162</v>
      </c>
      <c r="AJ377" s="115">
        <v>73000</v>
      </c>
      <c r="AK377" s="20">
        <v>1</v>
      </c>
      <c r="AL377" s="20">
        <f t="shared" si="90"/>
        <v>434</v>
      </c>
      <c r="AM377" s="20">
        <f t="shared" si="91"/>
        <v>31682000</v>
      </c>
      <c r="AN377" s="20"/>
      <c r="AR377" t="s">
        <v>25</v>
      </c>
    </row>
    <row r="378" spans="16:45" ht="30">
      <c r="Q378" s="97" t="s">
        <v>5384</v>
      </c>
      <c r="R378" s="93">
        <v>40000000</v>
      </c>
      <c r="T378" s="187" t="s">
        <v>5674</v>
      </c>
      <c r="U378" s="187">
        <v>-2349</v>
      </c>
      <c r="V378" s="186">
        <v>2639.970566</v>
      </c>
      <c r="W378" s="186">
        <f t="shared" si="89"/>
        <v>-6201290.859534</v>
      </c>
      <c r="X378" s="275" t="s">
        <v>5687</v>
      </c>
      <c r="AA378" t="s">
        <v>25</v>
      </c>
      <c r="AH378" s="20">
        <v>112</v>
      </c>
      <c r="AI378" s="20" t="s">
        <v>977</v>
      </c>
      <c r="AJ378" s="115">
        <v>4300000</v>
      </c>
      <c r="AK378" s="20">
        <v>1</v>
      </c>
      <c r="AL378" s="20">
        <f t="shared" si="90"/>
        <v>433</v>
      </c>
      <c r="AM378" s="20">
        <f t="shared" si="91"/>
        <v>1861900000</v>
      </c>
      <c r="AN378" s="20"/>
    </row>
    <row r="379" spans="16:45">
      <c r="Q379" s="97" t="s">
        <v>5384</v>
      </c>
      <c r="R379" s="93">
        <v>2806274</v>
      </c>
      <c r="T379" s="19" t="s">
        <v>5674</v>
      </c>
      <c r="U379" s="19">
        <v>2349</v>
      </c>
      <c r="V379" s="115">
        <v>2639.970566</v>
      </c>
      <c r="W379" s="115">
        <f t="shared" si="89"/>
        <v>6201290.859534</v>
      </c>
      <c r="X379" s="276" t="s">
        <v>5688</v>
      </c>
      <c r="AH379" s="20">
        <v>113</v>
      </c>
      <c r="AI379" s="20" t="s">
        <v>5031</v>
      </c>
      <c r="AJ379" s="115">
        <v>1600000</v>
      </c>
      <c r="AK379" s="20">
        <v>0</v>
      </c>
      <c r="AL379" s="20">
        <f t="shared" si="90"/>
        <v>432</v>
      </c>
      <c r="AM379" s="20">
        <f t="shared" si="91"/>
        <v>691200000</v>
      </c>
      <c r="AN379" s="20"/>
    </row>
    <row r="380" spans="16:45" ht="30">
      <c r="Q380" s="97" t="s">
        <v>5385</v>
      </c>
      <c r="R380" s="93">
        <v>1331702</v>
      </c>
      <c r="T380" s="19" t="s">
        <v>5674</v>
      </c>
      <c r="U380" s="19">
        <v>-568</v>
      </c>
      <c r="V380" s="115">
        <v>2639.970566</v>
      </c>
      <c r="W380" s="115">
        <f t="shared" si="89"/>
        <v>-1499503.2814879999</v>
      </c>
      <c r="X380" s="276" t="s">
        <v>5689</v>
      </c>
      <c r="AA380" t="s">
        <v>25</v>
      </c>
      <c r="AH380" s="20">
        <v>114</v>
      </c>
      <c r="AI380" s="20" t="s">
        <v>4257</v>
      </c>
      <c r="AJ380" s="115">
        <v>-10000000</v>
      </c>
      <c r="AK380" s="20">
        <v>1</v>
      </c>
      <c r="AL380" s="20">
        <f t="shared" si="90"/>
        <v>432</v>
      </c>
      <c r="AM380" s="20">
        <f t="shared" si="91"/>
        <v>-4320000000</v>
      </c>
      <c r="AN380" s="20" t="s">
        <v>5169</v>
      </c>
    </row>
    <row r="381" spans="16:45" ht="30">
      <c r="Q381" s="97" t="s">
        <v>5393</v>
      </c>
      <c r="R381" s="93">
        <v>851238</v>
      </c>
      <c r="T381" s="19" t="s">
        <v>5674</v>
      </c>
      <c r="U381" s="19">
        <v>568</v>
      </c>
      <c r="V381" s="115">
        <v>2639.970566</v>
      </c>
      <c r="W381" s="115">
        <f t="shared" si="89"/>
        <v>1499503.2814879999</v>
      </c>
      <c r="X381" s="276" t="s">
        <v>5689</v>
      </c>
      <c r="Z381" t="s">
        <v>25</v>
      </c>
      <c r="AA381" t="s">
        <v>25</v>
      </c>
      <c r="AH381" s="20">
        <v>115</v>
      </c>
      <c r="AI381" s="20" t="s">
        <v>5168</v>
      </c>
      <c r="AJ381" s="115">
        <v>571000</v>
      </c>
      <c r="AK381" s="20">
        <v>4</v>
      </c>
      <c r="AL381" s="20">
        <f t="shared" si="90"/>
        <v>431</v>
      </c>
      <c r="AM381" s="20">
        <f t="shared" si="91"/>
        <v>246101000</v>
      </c>
      <c r="AN381" s="20"/>
      <c r="AP381" t="s">
        <v>25</v>
      </c>
    </row>
    <row r="382" spans="16:45">
      <c r="Q382" s="97" t="s">
        <v>5427</v>
      </c>
      <c r="R382" s="93">
        <v>652592</v>
      </c>
      <c r="T382" s="19" t="s">
        <v>5678</v>
      </c>
      <c r="U382" s="19">
        <v>4589</v>
      </c>
      <c r="V382" s="115">
        <v>2639.970566</v>
      </c>
      <c r="W382" s="115">
        <f t="shared" si="89"/>
        <v>12114824.927374</v>
      </c>
      <c r="X382" s="276" t="s">
        <v>5692</v>
      </c>
      <c r="AH382" s="20">
        <v>116</v>
      </c>
      <c r="AI382" s="20" t="s">
        <v>5170</v>
      </c>
      <c r="AJ382" s="115">
        <v>200000</v>
      </c>
      <c r="AK382" s="20">
        <v>3</v>
      </c>
      <c r="AL382" s="20">
        <f t="shared" ref="AL382:AL393" si="92">AK382+AL383</f>
        <v>427</v>
      </c>
      <c r="AM382" s="20">
        <f t="shared" ref="AM382:AM393" si="93">AJ382*AL382</f>
        <v>85400000</v>
      </c>
      <c r="AN382" s="20"/>
    </row>
    <row r="383" spans="16:45">
      <c r="Q383" s="97" t="s">
        <v>5475</v>
      </c>
      <c r="R383" s="93">
        <v>554139</v>
      </c>
      <c r="T383" s="19" t="s">
        <v>5678</v>
      </c>
      <c r="U383" s="19">
        <v>41959</v>
      </c>
      <c r="V383" s="115">
        <v>2639.970566</v>
      </c>
      <c r="W383" s="115">
        <f t="shared" ref="W383:W440" si="94">U383*V383</f>
        <v>110770524.97879399</v>
      </c>
      <c r="X383" s="276" t="s">
        <v>5140</v>
      </c>
      <c r="AH383" s="147">
        <v>117</v>
      </c>
      <c r="AI383" s="147" t="s">
        <v>5176</v>
      </c>
      <c r="AJ383" s="186">
        <v>50000</v>
      </c>
      <c r="AK383" s="147">
        <v>7</v>
      </c>
      <c r="AL383" s="147">
        <f t="shared" si="92"/>
        <v>424</v>
      </c>
      <c r="AM383" s="147">
        <f t="shared" si="93"/>
        <v>21200000</v>
      </c>
      <c r="AN383" s="147"/>
    </row>
    <row r="384" spans="16:45">
      <c r="P384" t="s">
        <v>25</v>
      </c>
      <c r="Q384" s="97" t="s">
        <v>5476</v>
      </c>
      <c r="R384" s="93">
        <v>70373089</v>
      </c>
      <c r="T384" s="19" t="s">
        <v>5695</v>
      </c>
      <c r="U384" s="19">
        <v>2486</v>
      </c>
      <c r="V384" s="115">
        <v>2688.7156100000002</v>
      </c>
      <c r="W384" s="115">
        <f t="shared" si="94"/>
        <v>6684147.0064600008</v>
      </c>
      <c r="X384" s="276" t="s">
        <v>5140</v>
      </c>
      <c r="AH384" s="20">
        <v>118</v>
      </c>
      <c r="AI384" s="20" t="s">
        <v>5184</v>
      </c>
      <c r="AJ384" s="115">
        <v>-500000</v>
      </c>
      <c r="AK384" s="20">
        <v>12</v>
      </c>
      <c r="AL384" s="20">
        <f t="shared" si="92"/>
        <v>417</v>
      </c>
      <c r="AM384" s="20">
        <f t="shared" si="93"/>
        <v>-208500000</v>
      </c>
      <c r="AN384" s="20"/>
    </row>
    <row r="385" spans="17:45">
      <c r="Q385" s="97" t="s">
        <v>5477</v>
      </c>
      <c r="R385" s="93">
        <v>1219655</v>
      </c>
      <c r="S385" t="s">
        <v>25</v>
      </c>
      <c r="T385" s="19" t="s">
        <v>5699</v>
      </c>
      <c r="U385" s="19">
        <v>652</v>
      </c>
      <c r="V385" s="115">
        <v>2801.4344030000002</v>
      </c>
      <c r="W385" s="115">
        <f t="shared" si="94"/>
        <v>1826535.2307560001</v>
      </c>
      <c r="X385" s="276" t="s">
        <v>5140</v>
      </c>
      <c r="Y385" t="s">
        <v>25</v>
      </c>
      <c r="AH385" s="147">
        <v>119</v>
      </c>
      <c r="AI385" s="147" t="s">
        <v>976</v>
      </c>
      <c r="AJ385" s="186">
        <v>-50000</v>
      </c>
      <c r="AK385" s="147">
        <v>0</v>
      </c>
      <c r="AL385" s="147">
        <f t="shared" si="92"/>
        <v>405</v>
      </c>
      <c r="AM385" s="147">
        <f t="shared" si="93"/>
        <v>-20250000</v>
      </c>
      <c r="AN385" s="147"/>
    </row>
    <row r="386" spans="17:45">
      <c r="Q386" s="97" t="s">
        <v>5478</v>
      </c>
      <c r="R386" s="93">
        <v>15350146</v>
      </c>
      <c r="T386" s="187" t="s">
        <v>5699</v>
      </c>
      <c r="U386" s="187">
        <v>-536</v>
      </c>
      <c r="V386" s="186">
        <v>2801.4344030000002</v>
      </c>
      <c r="W386" s="186">
        <f t="shared" si="94"/>
        <v>-1501568.8400080001</v>
      </c>
      <c r="X386" s="275" t="s">
        <v>5713</v>
      </c>
      <c r="AH386" s="20">
        <v>120</v>
      </c>
      <c r="AI386" s="20" t="s">
        <v>976</v>
      </c>
      <c r="AJ386" s="115">
        <v>-50000</v>
      </c>
      <c r="AK386" s="20">
        <v>28</v>
      </c>
      <c r="AL386" s="20">
        <f t="shared" si="92"/>
        <v>405</v>
      </c>
      <c r="AM386" s="20">
        <f t="shared" si="93"/>
        <v>-20250000</v>
      </c>
      <c r="AN386" s="20"/>
      <c r="AQ386" t="s">
        <v>25</v>
      </c>
    </row>
    <row r="387" spans="17:45">
      <c r="Q387" s="97" t="s">
        <v>5479</v>
      </c>
      <c r="R387" s="93">
        <v>121018</v>
      </c>
      <c r="T387" s="19" t="s">
        <v>5703</v>
      </c>
      <c r="U387" s="19">
        <v>1351</v>
      </c>
      <c r="V387" s="115">
        <v>2647.94</v>
      </c>
      <c r="W387" s="115">
        <f t="shared" si="94"/>
        <v>3577366.94</v>
      </c>
      <c r="X387" s="276" t="s">
        <v>5140</v>
      </c>
      <c r="AF387" s="94" t="s">
        <v>25</v>
      </c>
      <c r="AH387" s="20">
        <v>121</v>
      </c>
      <c r="AI387" s="20" t="s">
        <v>5225</v>
      </c>
      <c r="AJ387" s="115">
        <v>-3020625</v>
      </c>
      <c r="AK387" s="20">
        <v>18</v>
      </c>
      <c r="AL387" s="20">
        <f t="shared" si="92"/>
        <v>377</v>
      </c>
      <c r="AM387" s="20">
        <f t="shared" si="93"/>
        <v>-1138775625</v>
      </c>
      <c r="AN387" s="20"/>
    </row>
    <row r="388" spans="17:45">
      <c r="Q388" s="97" t="s">
        <v>5483</v>
      </c>
      <c r="R388" s="93">
        <v>1024993</v>
      </c>
      <c r="T388" s="19" t="s">
        <v>5705</v>
      </c>
      <c r="U388" s="19">
        <v>8402</v>
      </c>
      <c r="V388" s="115">
        <v>2527.8539839999999</v>
      </c>
      <c r="W388" s="115">
        <f t="shared" si="94"/>
        <v>21239029.173567999</v>
      </c>
      <c r="X388" s="276" t="s">
        <v>5140</v>
      </c>
      <c r="AH388" s="20">
        <v>122</v>
      </c>
      <c r="AI388" s="20" t="s">
        <v>5236</v>
      </c>
      <c r="AJ388" s="115">
        <v>18000000</v>
      </c>
      <c r="AK388" s="20">
        <v>19</v>
      </c>
      <c r="AL388" s="20">
        <f t="shared" si="92"/>
        <v>359</v>
      </c>
      <c r="AM388" s="20">
        <f t="shared" si="93"/>
        <v>6462000000</v>
      </c>
      <c r="AN388" s="20"/>
      <c r="AS388" t="s">
        <v>25</v>
      </c>
    </row>
    <row r="389" spans="17:45">
      <c r="Q389" s="97" t="s">
        <v>5499</v>
      </c>
      <c r="R389" s="93">
        <v>1948077</v>
      </c>
      <c r="T389" s="19" t="s">
        <v>5710</v>
      </c>
      <c r="U389" s="19">
        <v>98141</v>
      </c>
      <c r="V389" s="115">
        <v>2475.593813</v>
      </c>
      <c r="W389" s="115">
        <f t="shared" si="94"/>
        <v>242957252.40163299</v>
      </c>
      <c r="X389" s="276" t="s">
        <v>5140</v>
      </c>
      <c r="Y389" t="s">
        <v>25</v>
      </c>
      <c r="AH389" s="20">
        <v>123</v>
      </c>
      <c r="AI389" s="20" t="s">
        <v>5264</v>
      </c>
      <c r="AJ389" s="115">
        <v>2000000</v>
      </c>
      <c r="AK389" s="20">
        <v>6</v>
      </c>
      <c r="AL389" s="20">
        <f t="shared" si="92"/>
        <v>340</v>
      </c>
      <c r="AM389" s="20">
        <f t="shared" si="93"/>
        <v>680000000</v>
      </c>
      <c r="AN389" s="20"/>
    </row>
    <row r="390" spans="17:45">
      <c r="Q390" s="97" t="s">
        <v>5500</v>
      </c>
      <c r="R390" s="93">
        <v>50000120</v>
      </c>
      <c r="T390" s="19" t="s">
        <v>5714</v>
      </c>
      <c r="U390" s="19">
        <v>2910</v>
      </c>
      <c r="V390" s="115">
        <v>2528.240988</v>
      </c>
      <c r="W390" s="115">
        <f t="shared" si="94"/>
        <v>7357181.2750800001</v>
      </c>
      <c r="X390" s="276" t="s">
        <v>5140</v>
      </c>
      <c r="Z390" t="s">
        <v>25</v>
      </c>
      <c r="AH390" s="147">
        <v>124</v>
      </c>
      <c r="AI390" s="147" t="s">
        <v>5274</v>
      </c>
      <c r="AJ390" s="186">
        <v>40000000</v>
      </c>
      <c r="AK390" s="147">
        <v>6</v>
      </c>
      <c r="AL390" s="147">
        <f t="shared" si="92"/>
        <v>334</v>
      </c>
      <c r="AM390" s="147">
        <f t="shared" si="93"/>
        <v>13360000000</v>
      </c>
      <c r="AN390" s="147"/>
    </row>
    <row r="391" spans="17:45">
      <c r="Q391" s="97" t="s">
        <v>5501</v>
      </c>
      <c r="R391" s="93">
        <v>20000055</v>
      </c>
      <c r="T391" s="19" t="s">
        <v>5716</v>
      </c>
      <c r="U391" s="19">
        <v>5652</v>
      </c>
      <c r="V391" s="115">
        <v>2645.3312000000001</v>
      </c>
      <c r="W391" s="115">
        <f t="shared" si="94"/>
        <v>14951411.942400001</v>
      </c>
      <c r="X391" s="276" t="s">
        <v>5140</v>
      </c>
      <c r="Z391" t="s">
        <v>25</v>
      </c>
      <c r="AH391" s="20">
        <v>125</v>
      </c>
      <c r="AI391" s="20" t="s">
        <v>5283</v>
      </c>
      <c r="AJ391" s="115">
        <v>200000</v>
      </c>
      <c r="AK391" s="20">
        <v>0</v>
      </c>
      <c r="AL391" s="20">
        <f t="shared" si="92"/>
        <v>328</v>
      </c>
      <c r="AM391" s="20">
        <f t="shared" si="93"/>
        <v>65600000</v>
      </c>
      <c r="AN391" s="20"/>
    </row>
    <row r="392" spans="17:45">
      <c r="Q392" s="97" t="s">
        <v>5529</v>
      </c>
      <c r="R392" s="93">
        <v>5745697</v>
      </c>
      <c r="T392" s="19" t="s">
        <v>5720</v>
      </c>
      <c r="U392" s="19">
        <v>18764</v>
      </c>
      <c r="V392" s="115">
        <v>2554.2639829999998</v>
      </c>
      <c r="W392" s="115">
        <f t="shared" si="94"/>
        <v>47928209.377011999</v>
      </c>
      <c r="X392" s="276" t="s">
        <v>5140</v>
      </c>
      <c r="Y392" t="s">
        <v>25</v>
      </c>
      <c r="AH392" s="147">
        <v>126</v>
      </c>
      <c r="AI392" s="147" t="s">
        <v>5283</v>
      </c>
      <c r="AJ392" s="186">
        <v>200000</v>
      </c>
      <c r="AK392" s="147">
        <v>1</v>
      </c>
      <c r="AL392" s="147">
        <f t="shared" si="92"/>
        <v>328</v>
      </c>
      <c r="AM392" s="147">
        <f t="shared" si="93"/>
        <v>65600000</v>
      </c>
      <c r="AN392" s="147"/>
    </row>
    <row r="393" spans="17:45">
      <c r="Q393" s="97" t="s">
        <v>5530</v>
      </c>
      <c r="R393" s="93">
        <v>908158</v>
      </c>
      <c r="T393" s="19" t="s">
        <v>5722</v>
      </c>
      <c r="U393" s="19">
        <v>930</v>
      </c>
      <c r="V393" s="115">
        <v>2453.3287089999999</v>
      </c>
      <c r="W393" s="115">
        <f t="shared" si="94"/>
        <v>2281595.69937</v>
      </c>
      <c r="X393" s="276" t="s">
        <v>5140</v>
      </c>
      <c r="AH393" s="20">
        <v>127</v>
      </c>
      <c r="AI393" s="20" t="s">
        <v>5286</v>
      </c>
      <c r="AJ393" s="115">
        <v>50000</v>
      </c>
      <c r="AK393" s="20">
        <v>4</v>
      </c>
      <c r="AL393" s="20">
        <f t="shared" si="92"/>
        <v>327</v>
      </c>
      <c r="AM393" s="20">
        <f t="shared" si="93"/>
        <v>16350000</v>
      </c>
      <c r="AN393" s="20"/>
      <c r="AR393" t="s">
        <v>25</v>
      </c>
    </row>
    <row r="394" spans="17:45">
      <c r="Q394" s="97" t="s">
        <v>5531</v>
      </c>
      <c r="R394" s="93">
        <v>12642697</v>
      </c>
      <c r="T394" s="19" t="s">
        <v>5724</v>
      </c>
      <c r="U394" s="19">
        <v>1167</v>
      </c>
      <c r="V394" s="115">
        <v>2540.6307069999998</v>
      </c>
      <c r="W394" s="115">
        <f t="shared" si="94"/>
        <v>2964916.035069</v>
      </c>
      <c r="X394" s="276" t="s">
        <v>5140</v>
      </c>
      <c r="AH394" s="20">
        <v>128</v>
      </c>
      <c r="AI394" s="20" t="s">
        <v>5288</v>
      </c>
      <c r="AJ394" s="115">
        <v>100000</v>
      </c>
      <c r="AK394" s="20">
        <v>9</v>
      </c>
      <c r="AL394" s="20">
        <f t="shared" ref="AL394:AL404" si="95">AK394+AL395</f>
        <v>323</v>
      </c>
      <c r="AM394" s="20">
        <f t="shared" ref="AM394:AM404" si="96">AJ394*AL394</f>
        <v>32300000</v>
      </c>
      <c r="AN394" s="20"/>
    </row>
    <row r="395" spans="17:45">
      <c r="Q395" s="97" t="s">
        <v>5532</v>
      </c>
      <c r="R395" s="93">
        <v>12297317.81435</v>
      </c>
      <c r="T395" s="19" t="s">
        <v>5725</v>
      </c>
      <c r="U395" s="19">
        <v>2538</v>
      </c>
      <c r="V395" s="115">
        <v>2545.5277489999999</v>
      </c>
      <c r="W395" s="115">
        <f t="shared" si="94"/>
        <v>6460549.4269619994</v>
      </c>
      <c r="X395" s="276" t="s">
        <v>5140</v>
      </c>
      <c r="AH395" s="20">
        <v>129</v>
      </c>
      <c r="AI395" s="20" t="s">
        <v>5304</v>
      </c>
      <c r="AJ395" s="115">
        <v>-550000</v>
      </c>
      <c r="AK395" s="20">
        <v>5</v>
      </c>
      <c r="AL395" s="20">
        <f t="shared" si="95"/>
        <v>314</v>
      </c>
      <c r="AM395" s="20">
        <f t="shared" si="96"/>
        <v>-172700000</v>
      </c>
      <c r="AN395" s="20"/>
    </row>
    <row r="396" spans="17:45">
      <c r="Q396" s="97" t="s">
        <v>5533</v>
      </c>
      <c r="R396" s="93">
        <v>8959643.8508579992</v>
      </c>
      <c r="T396" s="19" t="s">
        <v>5727</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309</v>
      </c>
      <c r="AM396" s="20">
        <f t="shared" si="96"/>
        <v>-9173125410</v>
      </c>
      <c r="AN396" s="20"/>
    </row>
    <row r="397" spans="17:45">
      <c r="Q397" s="97" t="s">
        <v>5534</v>
      </c>
      <c r="R397" s="93">
        <v>15154095.839328</v>
      </c>
      <c r="T397" s="19" t="s">
        <v>5730</v>
      </c>
      <c r="U397" s="19">
        <v>1801</v>
      </c>
      <c r="V397" s="115">
        <v>2512.2134809999998</v>
      </c>
      <c r="W397" s="115">
        <f t="shared" si="94"/>
        <v>4524496.4792809999</v>
      </c>
      <c r="X397" s="276" t="s">
        <v>5140</v>
      </c>
      <c r="Y397" t="s">
        <v>25</v>
      </c>
      <c r="AH397" s="20">
        <v>131</v>
      </c>
      <c r="AI397" s="20" t="s">
        <v>5317</v>
      </c>
      <c r="AJ397" s="115">
        <v>-9000000</v>
      </c>
      <c r="AK397" s="20">
        <v>8</v>
      </c>
      <c r="AL397" s="20">
        <f t="shared" si="95"/>
        <v>308</v>
      </c>
      <c r="AM397" s="20">
        <f t="shared" si="96"/>
        <v>-2772000000</v>
      </c>
      <c r="AN397" s="20"/>
    </row>
    <row r="398" spans="17:45" ht="21" customHeight="1">
      <c r="Q398" s="97" t="s">
        <v>5555</v>
      </c>
      <c r="R398" s="93">
        <v>50725508.571864001</v>
      </c>
      <c r="T398" s="19" t="s">
        <v>5732</v>
      </c>
      <c r="U398" s="19">
        <v>9184</v>
      </c>
      <c r="V398" s="115">
        <v>2489.76919</v>
      </c>
      <c r="W398" s="115">
        <f t="shared" si="94"/>
        <v>22866040.240959998</v>
      </c>
      <c r="X398" s="276" t="s">
        <v>5140</v>
      </c>
      <c r="Z398" t="s">
        <v>25</v>
      </c>
      <c r="AH398" s="20">
        <v>132</v>
      </c>
      <c r="AI398" s="20" t="s">
        <v>5361</v>
      </c>
      <c r="AJ398" s="115">
        <v>810000</v>
      </c>
      <c r="AK398" s="20">
        <v>2</v>
      </c>
      <c r="AL398" s="20">
        <f t="shared" si="95"/>
        <v>300</v>
      </c>
      <c r="AM398" s="20">
        <f t="shared" si="96"/>
        <v>243000000</v>
      </c>
      <c r="AN398" s="20"/>
    </row>
    <row r="399" spans="17:45">
      <c r="Q399" s="97" t="s">
        <v>5557</v>
      </c>
      <c r="R399" s="93">
        <v>2281961.458596</v>
      </c>
      <c r="T399" s="19" t="s">
        <v>5734</v>
      </c>
      <c r="U399" s="19">
        <v>6259</v>
      </c>
      <c r="V399" s="115">
        <v>2453.954988</v>
      </c>
      <c r="W399" s="115">
        <f t="shared" si="94"/>
        <v>15359304.269892</v>
      </c>
      <c r="X399" s="276" t="s">
        <v>5140</v>
      </c>
      <c r="Y399" t="s">
        <v>25</v>
      </c>
      <c r="AH399" s="20">
        <v>133</v>
      </c>
      <c r="AI399" s="20" t="s">
        <v>5366</v>
      </c>
      <c r="AJ399" s="115">
        <v>-5000000</v>
      </c>
      <c r="AK399" s="20">
        <v>3</v>
      </c>
      <c r="AL399" s="20">
        <f t="shared" si="95"/>
        <v>298</v>
      </c>
      <c r="AM399" s="20">
        <f t="shared" si="96"/>
        <v>-1490000000</v>
      </c>
      <c r="AN399" s="20"/>
    </row>
    <row r="400" spans="17:45" ht="18" customHeight="1">
      <c r="Q400" s="97" t="s">
        <v>5564</v>
      </c>
      <c r="R400" s="93">
        <v>10998285</v>
      </c>
      <c r="T400" s="19" t="s">
        <v>5736</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295</v>
      </c>
      <c r="AM400" s="20">
        <f t="shared" si="96"/>
        <v>-7670000000</v>
      </c>
      <c r="AN400" s="20"/>
    </row>
    <row r="401" spans="17:45" ht="21" customHeight="1">
      <c r="Q401" s="97" t="s">
        <v>5565</v>
      </c>
      <c r="R401" s="93">
        <v>983018.96187300002</v>
      </c>
      <c r="T401" s="19" t="s">
        <v>5737</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295</v>
      </c>
      <c r="AM401" s="252">
        <f t="shared" si="96"/>
        <v>-7670000000</v>
      </c>
      <c r="AN401" s="252"/>
    </row>
    <row r="402" spans="17:45">
      <c r="Q402" s="97" t="s">
        <v>5567</v>
      </c>
      <c r="R402" s="93">
        <v>17049271.032000002</v>
      </c>
      <c r="T402" s="19" t="s">
        <v>5738</v>
      </c>
      <c r="U402" s="19">
        <v>14589</v>
      </c>
      <c r="V402" s="115">
        <v>2151.5486500000002</v>
      </c>
      <c r="W402" s="115">
        <f t="shared" si="94"/>
        <v>31388943.254850004</v>
      </c>
      <c r="X402" s="276" t="s">
        <v>5140</v>
      </c>
      <c r="Z402" t="s">
        <v>25</v>
      </c>
      <c r="AH402" s="20">
        <v>136</v>
      </c>
      <c r="AI402" s="20" t="s">
        <v>5379</v>
      </c>
      <c r="AJ402" s="115">
        <v>-81800000</v>
      </c>
      <c r="AK402" s="20">
        <v>0</v>
      </c>
      <c r="AL402" s="20">
        <f t="shared" si="95"/>
        <v>294</v>
      </c>
      <c r="AM402" s="20">
        <f t="shared" si="96"/>
        <v>-24049200000</v>
      </c>
      <c r="AN402" s="20"/>
      <c r="AS402" t="s">
        <v>25</v>
      </c>
    </row>
    <row r="403" spans="17:45">
      <c r="Q403" s="97" t="s">
        <v>5570</v>
      </c>
      <c r="R403" s="93">
        <v>6829998</v>
      </c>
      <c r="T403" s="19" t="s">
        <v>5739</v>
      </c>
      <c r="U403" s="19">
        <v>14741</v>
      </c>
      <c r="V403" s="115">
        <v>2097.0148140000001</v>
      </c>
      <c r="W403" s="115">
        <f t="shared" si="94"/>
        <v>30912095.373174001</v>
      </c>
      <c r="X403" s="276" t="s">
        <v>5140</v>
      </c>
      <c r="AH403" s="252">
        <v>137</v>
      </c>
      <c r="AI403" s="252" t="s">
        <v>5379</v>
      </c>
      <c r="AJ403" s="243">
        <v>-110000000</v>
      </c>
      <c r="AK403" s="252">
        <v>1</v>
      </c>
      <c r="AL403" s="252">
        <f t="shared" si="95"/>
        <v>294</v>
      </c>
      <c r="AM403" s="252">
        <f t="shared" si="96"/>
        <v>-32340000000</v>
      </c>
      <c r="AN403" s="252"/>
    </row>
    <row r="404" spans="17:45">
      <c r="Q404" s="97" t="s">
        <v>4213</v>
      </c>
      <c r="R404" s="93">
        <v>6982608.8207999999</v>
      </c>
      <c r="T404" s="19" t="s">
        <v>5741</v>
      </c>
      <c r="U404" s="19">
        <v>10237</v>
      </c>
      <c r="V404" s="115">
        <v>1914.9092619999999</v>
      </c>
      <c r="W404" s="115">
        <f t="shared" si="94"/>
        <v>19602926.115093999</v>
      </c>
      <c r="X404" s="276" t="s">
        <v>5140</v>
      </c>
      <c r="AH404" s="20">
        <v>138</v>
      </c>
      <c r="AI404" s="20" t="s">
        <v>5380</v>
      </c>
      <c r="AJ404" s="115">
        <v>-34000000</v>
      </c>
      <c r="AK404" s="20">
        <v>0</v>
      </c>
      <c r="AL404" s="20">
        <f t="shared" si="95"/>
        <v>293</v>
      </c>
      <c r="AM404" s="20">
        <f t="shared" si="96"/>
        <v>-9962000000</v>
      </c>
      <c r="AN404" s="20"/>
    </row>
    <row r="405" spans="17:45">
      <c r="Q405" s="97" t="s">
        <v>5592</v>
      </c>
      <c r="R405" s="93">
        <v>7510131.0216000006</v>
      </c>
      <c r="T405" s="19" t="s">
        <v>5745</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293</v>
      </c>
      <c r="AM405" s="147">
        <f t="shared" ref="AM405:AM410" si="98">AJ405*AL405</f>
        <v>-7002700000</v>
      </c>
      <c r="AN405" s="147"/>
    </row>
    <row r="406" spans="17:45">
      <c r="Q406" s="97" t="s">
        <v>5598</v>
      </c>
      <c r="R406" s="93">
        <v>7278025.5327000003</v>
      </c>
      <c r="S406" t="s">
        <v>25</v>
      </c>
      <c r="T406" s="19" t="s">
        <v>5748</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288</v>
      </c>
      <c r="AM406" s="20">
        <f t="shared" si="98"/>
        <v>288000000</v>
      </c>
      <c r="AN406" s="20"/>
    </row>
    <row r="407" spans="17:45">
      <c r="Q407" s="97" t="s">
        <v>5607</v>
      </c>
      <c r="R407" s="93">
        <v>195059.35799999998</v>
      </c>
      <c r="T407" s="19" t="s">
        <v>5750</v>
      </c>
      <c r="U407" s="19">
        <v>14098</v>
      </c>
      <c r="V407" s="115">
        <v>1797.423695</v>
      </c>
      <c r="W407" s="115">
        <f t="shared" si="94"/>
        <v>25340079.252110001</v>
      </c>
      <c r="X407" s="276" t="s">
        <v>5140</v>
      </c>
      <c r="AH407" s="147">
        <v>141</v>
      </c>
      <c r="AI407" s="147" t="s">
        <v>5393</v>
      </c>
      <c r="AJ407" s="186">
        <v>1000000</v>
      </c>
      <c r="AK407" s="147">
        <v>4</v>
      </c>
      <c r="AL407" s="147">
        <f t="shared" si="97"/>
        <v>288</v>
      </c>
      <c r="AM407" s="147">
        <f t="shared" si="98"/>
        <v>288000000</v>
      </c>
      <c r="AN407" s="147"/>
    </row>
    <row r="408" spans="17:45">
      <c r="Q408" s="97" t="s">
        <v>5612</v>
      </c>
      <c r="R408" s="93">
        <v>862577.83200000005</v>
      </c>
      <c r="T408" s="19" t="s">
        <v>5751</v>
      </c>
      <c r="U408" s="19">
        <v>8497</v>
      </c>
      <c r="V408" s="115">
        <v>1739.5531579999999</v>
      </c>
      <c r="W408" s="115">
        <f t="shared" si="94"/>
        <v>14780983.183526</v>
      </c>
      <c r="X408" s="276" t="s">
        <v>5140</v>
      </c>
      <c r="Z408" t="s">
        <v>25</v>
      </c>
      <c r="AH408" s="20">
        <v>142</v>
      </c>
      <c r="AI408" s="20" t="s">
        <v>5399</v>
      </c>
      <c r="AJ408" s="115">
        <v>400000</v>
      </c>
      <c r="AK408" s="20">
        <v>0</v>
      </c>
      <c r="AL408" s="20">
        <f t="shared" si="97"/>
        <v>284</v>
      </c>
      <c r="AM408" s="20">
        <f t="shared" si="98"/>
        <v>113600000</v>
      </c>
      <c r="AN408" s="20"/>
    </row>
    <row r="409" spans="17:45" ht="30">
      <c r="Q409" s="97" t="s">
        <v>5614</v>
      </c>
      <c r="R409" s="93">
        <v>920308.446</v>
      </c>
      <c r="T409" s="19" t="s">
        <v>5755</v>
      </c>
      <c r="U409" s="19">
        <v>163820</v>
      </c>
      <c r="V409" s="115">
        <v>1588.685326</v>
      </c>
      <c r="W409" s="115">
        <f t="shared" si="94"/>
        <v>260258430.10532001</v>
      </c>
      <c r="X409" s="276" t="s">
        <v>5759</v>
      </c>
      <c r="AH409" s="147">
        <v>143</v>
      </c>
      <c r="AI409" s="147" t="s">
        <v>5399</v>
      </c>
      <c r="AJ409" s="186">
        <v>400000</v>
      </c>
      <c r="AK409" s="147">
        <v>35</v>
      </c>
      <c r="AL409" s="147">
        <f t="shared" si="97"/>
        <v>284</v>
      </c>
      <c r="AM409" s="147">
        <f t="shared" si="98"/>
        <v>113600000</v>
      </c>
      <c r="AN409" s="147"/>
    </row>
    <row r="410" spans="17:45">
      <c r="Q410" s="97" t="s">
        <v>5615</v>
      </c>
      <c r="R410" s="93">
        <v>4635809.8416840006</v>
      </c>
      <c r="S410" t="s">
        <v>25</v>
      </c>
      <c r="T410" s="19" t="s">
        <v>5755</v>
      </c>
      <c r="U410" s="19">
        <v>11207</v>
      </c>
      <c r="V410" s="115">
        <v>1588.685326</v>
      </c>
      <c r="W410" s="115">
        <f t="shared" si="94"/>
        <v>17804396.448481999</v>
      </c>
      <c r="X410" s="276" t="s">
        <v>5140</v>
      </c>
      <c r="AH410" s="20">
        <v>144</v>
      </c>
      <c r="AI410" s="20" t="s">
        <v>5433</v>
      </c>
      <c r="AJ410" s="115">
        <v>3000000</v>
      </c>
      <c r="AK410" s="20">
        <v>0</v>
      </c>
      <c r="AL410" s="20">
        <f t="shared" si="97"/>
        <v>249</v>
      </c>
      <c r="AM410" s="20">
        <f t="shared" si="98"/>
        <v>747000000</v>
      </c>
      <c r="AN410" s="20"/>
    </row>
    <row r="411" spans="17:45">
      <c r="Q411" s="97" t="s">
        <v>5617</v>
      </c>
      <c r="R411" s="93">
        <v>288892.40000000002</v>
      </c>
      <c r="T411" s="19" t="s">
        <v>5760</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249</v>
      </c>
      <c r="AM411" s="147">
        <f t="shared" ref="AM411:AM414" si="100">AJ411*AL411</f>
        <v>678525000</v>
      </c>
      <c r="AN411" s="147"/>
    </row>
    <row r="412" spans="17:45">
      <c r="Q412" s="97" t="s">
        <v>5647</v>
      </c>
      <c r="R412" s="93">
        <v>58508002.009000003</v>
      </c>
      <c r="T412" s="19" t="s">
        <v>5761</v>
      </c>
      <c r="U412" s="19">
        <v>7804</v>
      </c>
      <c r="V412" s="115">
        <v>1592.7111440000001</v>
      </c>
      <c r="W412" s="115">
        <f t="shared" si="94"/>
        <v>12429517.767776001</v>
      </c>
      <c r="X412" s="276" t="s">
        <v>5140</v>
      </c>
      <c r="Y412" t="s">
        <v>25</v>
      </c>
      <c r="AH412" s="147">
        <v>146</v>
      </c>
      <c r="AI412" s="147" t="s">
        <v>5327</v>
      </c>
      <c r="AJ412" s="186">
        <v>-8644090</v>
      </c>
      <c r="AK412" s="147">
        <v>0</v>
      </c>
      <c r="AL412" s="147">
        <f t="shared" si="99"/>
        <v>230</v>
      </c>
      <c r="AM412" s="147">
        <f t="shared" si="100"/>
        <v>-1988140700</v>
      </c>
      <c r="AN412" s="147" t="s">
        <v>4750</v>
      </c>
    </row>
    <row r="413" spans="17:45">
      <c r="Q413" s="97" t="s">
        <v>5648</v>
      </c>
      <c r="R413" s="93">
        <v>2245515.5410799999</v>
      </c>
      <c r="T413" s="19" t="s">
        <v>5773</v>
      </c>
      <c r="U413" s="19">
        <v>2827</v>
      </c>
      <c r="V413" s="115">
        <v>1779.6874809999999</v>
      </c>
      <c r="W413" s="115">
        <f t="shared" si="94"/>
        <v>5031176.5087869996</v>
      </c>
      <c r="X413" s="276" t="s">
        <v>5140</v>
      </c>
      <c r="AH413" s="20">
        <v>147</v>
      </c>
      <c r="AI413" s="20" t="s">
        <v>5327</v>
      </c>
      <c r="AJ413" s="115">
        <v>-65461942</v>
      </c>
      <c r="AK413" s="20">
        <v>1</v>
      </c>
      <c r="AL413" s="20">
        <f t="shared" si="99"/>
        <v>230</v>
      </c>
      <c r="AM413" s="20">
        <f t="shared" si="100"/>
        <v>-15056246660</v>
      </c>
      <c r="AN413" s="20" t="s">
        <v>4750</v>
      </c>
      <c r="AR413" t="s">
        <v>25</v>
      </c>
    </row>
    <row r="414" spans="17:45">
      <c r="Q414" s="97" t="s">
        <v>5650</v>
      </c>
      <c r="R414" s="93">
        <v>18404699.3442</v>
      </c>
      <c r="T414" s="19" t="s">
        <v>5776</v>
      </c>
      <c r="U414" s="19">
        <v>3385</v>
      </c>
      <c r="V414" s="115">
        <v>2015.5993820000001</v>
      </c>
      <c r="W414" s="115">
        <f t="shared" si="94"/>
        <v>6822803.9080700008</v>
      </c>
      <c r="X414" s="276" t="s">
        <v>5140</v>
      </c>
      <c r="Y414" t="s">
        <v>25</v>
      </c>
      <c r="AH414" s="20">
        <v>148</v>
      </c>
      <c r="AI414" s="20" t="s">
        <v>5456</v>
      </c>
      <c r="AJ414" s="115">
        <v>35000000</v>
      </c>
      <c r="AK414" s="20">
        <v>15</v>
      </c>
      <c r="AL414" s="20">
        <f t="shared" si="99"/>
        <v>229</v>
      </c>
      <c r="AM414" s="20">
        <f t="shared" si="100"/>
        <v>8015000000</v>
      </c>
      <c r="AN414" s="20"/>
    </row>
    <row r="415" spans="17:45">
      <c r="Q415" s="97" t="s">
        <v>5650</v>
      </c>
      <c r="R415" s="93">
        <v>48684800</v>
      </c>
      <c r="T415" s="19" t="s">
        <v>5780</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214</v>
      </c>
      <c r="AM415" s="147">
        <f t="shared" ref="AM415:AM418" si="102">AJ415*AL415</f>
        <v>299600000</v>
      </c>
      <c r="AN415" s="147"/>
      <c r="AS415" t="s">
        <v>25</v>
      </c>
    </row>
    <row r="416" spans="17:45">
      <c r="Q416" s="97" t="s">
        <v>5653</v>
      </c>
      <c r="R416" s="93">
        <v>2264658.5922190002</v>
      </c>
      <c r="T416" s="19" t="s">
        <v>965</v>
      </c>
      <c r="U416" s="19">
        <v>5033</v>
      </c>
      <c r="V416" s="115">
        <v>2229.4976999999999</v>
      </c>
      <c r="W416" s="115">
        <f t="shared" si="94"/>
        <v>11221061.924099999</v>
      </c>
      <c r="X416" s="276" t="s">
        <v>5786</v>
      </c>
      <c r="Y416" t="s">
        <v>25</v>
      </c>
      <c r="AH416" s="20">
        <v>150</v>
      </c>
      <c r="AI416" s="20" t="s">
        <v>5479</v>
      </c>
      <c r="AJ416" s="115">
        <v>1600000</v>
      </c>
      <c r="AK416" s="20">
        <v>1</v>
      </c>
      <c r="AL416" s="20">
        <f t="shared" si="101"/>
        <v>214</v>
      </c>
      <c r="AM416" s="20">
        <f t="shared" si="102"/>
        <v>342400000</v>
      </c>
      <c r="AN416" s="20"/>
    </row>
    <row r="417" spans="17:45">
      <c r="Q417" s="97" t="s">
        <v>5655</v>
      </c>
      <c r="R417" s="93">
        <v>22877413.789960001</v>
      </c>
      <c r="T417" s="19" t="s">
        <v>5790</v>
      </c>
      <c r="U417" s="19">
        <v>2870</v>
      </c>
      <c r="V417" s="115">
        <v>2303.2467459999998</v>
      </c>
      <c r="W417" s="115">
        <f t="shared" si="94"/>
        <v>6610318.1610199995</v>
      </c>
      <c r="X417" s="276" t="s">
        <v>5140</v>
      </c>
      <c r="AH417" s="147">
        <v>151</v>
      </c>
      <c r="AI417" s="147" t="s">
        <v>5482</v>
      </c>
      <c r="AJ417" s="186">
        <v>600000</v>
      </c>
      <c r="AK417" s="147">
        <v>0</v>
      </c>
      <c r="AL417" s="147">
        <f t="shared" si="101"/>
        <v>213</v>
      </c>
      <c r="AM417" s="147">
        <f t="shared" si="102"/>
        <v>127800000</v>
      </c>
      <c r="AN417" s="147" t="s">
        <v>5484</v>
      </c>
      <c r="AR417" t="s">
        <v>25</v>
      </c>
      <c r="AS417" t="s">
        <v>25</v>
      </c>
    </row>
    <row r="418" spans="17:45">
      <c r="Q418" s="97" t="s">
        <v>5658</v>
      </c>
      <c r="R418" s="93">
        <v>2362539.4373280001</v>
      </c>
      <c r="T418" s="19" t="s">
        <v>5791</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213</v>
      </c>
      <c r="AM418" s="20">
        <f t="shared" si="102"/>
        <v>127800000</v>
      </c>
      <c r="AN418" s="20" t="s">
        <v>5484</v>
      </c>
    </row>
    <row r="419" spans="17:45" ht="30">
      <c r="Q419" s="97" t="s">
        <v>5659</v>
      </c>
      <c r="R419" s="93">
        <v>16042676.656608</v>
      </c>
      <c r="S419" t="s">
        <v>25</v>
      </c>
      <c r="T419" s="19" t="s">
        <v>5793</v>
      </c>
      <c r="U419" s="19">
        <v>35</v>
      </c>
      <c r="V419" s="115">
        <v>2315</v>
      </c>
      <c r="W419" s="115">
        <f t="shared" si="94"/>
        <v>81025</v>
      </c>
      <c r="X419" s="276" t="s">
        <v>5796</v>
      </c>
      <c r="Y419" t="s">
        <v>25</v>
      </c>
      <c r="AH419" s="20">
        <v>153</v>
      </c>
      <c r="AI419" s="20" t="s">
        <v>5501</v>
      </c>
      <c r="AJ419" s="115">
        <v>20000000</v>
      </c>
      <c r="AK419" s="20">
        <v>23</v>
      </c>
      <c r="AL419" s="20">
        <f t="shared" ref="AL419:AL420" si="103">AK419+AL420</f>
        <v>204</v>
      </c>
      <c r="AM419" s="20">
        <f t="shared" ref="AM419:AM421" si="104">AJ419*AL419</f>
        <v>4080000000</v>
      </c>
      <c r="AN419" s="20" t="s">
        <v>5519</v>
      </c>
    </row>
    <row r="420" spans="17:45" ht="30">
      <c r="Q420" s="97" t="s">
        <v>5660</v>
      </c>
      <c r="R420" s="93">
        <v>18403291.448284</v>
      </c>
      <c r="T420" s="187" t="s">
        <v>5793</v>
      </c>
      <c r="U420" s="187">
        <v>-8</v>
      </c>
      <c r="V420" s="186">
        <v>2315</v>
      </c>
      <c r="W420" s="186">
        <f t="shared" si="94"/>
        <v>-18520</v>
      </c>
      <c r="X420" s="275" t="s">
        <v>5687</v>
      </c>
      <c r="Z420" t="s">
        <v>25</v>
      </c>
      <c r="AH420" s="20">
        <v>154</v>
      </c>
      <c r="AI420" s="20" t="s">
        <v>5545</v>
      </c>
      <c r="AJ420" s="115">
        <v>-46183500</v>
      </c>
      <c r="AK420" s="20">
        <v>0</v>
      </c>
      <c r="AL420" s="20">
        <f t="shared" si="103"/>
        <v>181</v>
      </c>
      <c r="AM420" s="20">
        <f t="shared" si="104"/>
        <v>-8359213500</v>
      </c>
      <c r="AN420" s="20" t="s">
        <v>4879</v>
      </c>
      <c r="AR420" t="s">
        <v>25</v>
      </c>
    </row>
    <row r="421" spans="17:45">
      <c r="Q421" s="97" t="s">
        <v>5663</v>
      </c>
      <c r="R421" s="93">
        <v>10561447.246918</v>
      </c>
      <c r="T421" s="19" t="s">
        <v>5797</v>
      </c>
      <c r="U421" s="19">
        <v>94</v>
      </c>
      <c r="V421" s="115">
        <v>2337.1980119999998</v>
      </c>
      <c r="W421" s="115">
        <f t="shared" si="94"/>
        <v>219696.613128</v>
      </c>
      <c r="X421" s="276" t="s">
        <v>5140</v>
      </c>
      <c r="Z421" t="s">
        <v>25</v>
      </c>
      <c r="AH421" s="147">
        <v>155</v>
      </c>
      <c r="AI421" s="147" t="s">
        <v>5545</v>
      </c>
      <c r="AJ421" s="186">
        <v>-1812800</v>
      </c>
      <c r="AK421" s="147">
        <v>2</v>
      </c>
      <c r="AL421" s="147">
        <f>AK421+AL422</f>
        <v>181</v>
      </c>
      <c r="AM421" s="147">
        <f t="shared" si="104"/>
        <v>-328116800</v>
      </c>
      <c r="AN421" s="147" t="s">
        <v>4879</v>
      </c>
    </row>
    <row r="422" spans="17:45">
      <c r="Q422" s="97" t="s">
        <v>5664</v>
      </c>
      <c r="R422" s="93">
        <v>1226811.9176660001</v>
      </c>
      <c r="T422" s="19" t="s">
        <v>5798</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179</v>
      </c>
      <c r="AM422" s="20">
        <f t="shared" ref="AM422:AM436" si="106">AJ422*AL422</f>
        <v>16110000</v>
      </c>
      <c r="AN422" s="20"/>
    </row>
    <row r="423" spans="17:45">
      <c r="Q423" s="97" t="s">
        <v>5665</v>
      </c>
      <c r="R423" s="93">
        <v>39373959.190266006</v>
      </c>
      <c r="T423" s="19" t="s">
        <v>5800</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179</v>
      </c>
      <c r="AM423" s="147">
        <f t="shared" si="106"/>
        <v>10740000</v>
      </c>
      <c r="AN423" s="147"/>
    </row>
    <row r="424" spans="17:45" ht="30">
      <c r="Q424" s="97" t="s">
        <v>5670</v>
      </c>
      <c r="R424" s="93">
        <v>27703487.063980002</v>
      </c>
      <c r="S424" t="s">
        <v>25</v>
      </c>
      <c r="T424" s="187" t="s">
        <v>5802</v>
      </c>
      <c r="U424" s="187">
        <v>-31</v>
      </c>
      <c r="V424" s="186">
        <v>2221.2123710000001</v>
      </c>
      <c r="W424" s="186">
        <f t="shared" si="94"/>
        <v>-68857.583501000001</v>
      </c>
      <c r="X424" s="275" t="s">
        <v>5687</v>
      </c>
      <c r="AH424" s="20">
        <v>158</v>
      </c>
      <c r="AI424" s="20" t="s">
        <v>5557</v>
      </c>
      <c r="AJ424" s="115">
        <v>50000000</v>
      </c>
      <c r="AK424" s="20">
        <v>29</v>
      </c>
      <c r="AL424" s="20">
        <f t="shared" si="105"/>
        <v>174</v>
      </c>
      <c r="AM424" s="20">
        <f t="shared" si="106"/>
        <v>8700000000</v>
      </c>
      <c r="AN424" s="20" t="s">
        <v>5559</v>
      </c>
    </row>
    <row r="425" spans="17:45">
      <c r="Q425" s="97" t="s">
        <v>5671</v>
      </c>
      <c r="R425" s="93">
        <v>8738896.6890719999</v>
      </c>
      <c r="T425" s="187" t="s">
        <v>5802</v>
      </c>
      <c r="U425" s="187">
        <v>-32</v>
      </c>
      <c r="V425" s="186">
        <v>2221.2123710000001</v>
      </c>
      <c r="W425" s="186">
        <f t="shared" si="94"/>
        <v>-71078.795872000002</v>
      </c>
      <c r="X425" s="275" t="s">
        <v>5807</v>
      </c>
      <c r="AH425" s="20">
        <v>159</v>
      </c>
      <c r="AI425" s="20" t="s">
        <v>5617</v>
      </c>
      <c r="AJ425" s="115">
        <v>100000</v>
      </c>
      <c r="AK425" s="20">
        <v>1</v>
      </c>
      <c r="AL425" s="20">
        <f t="shared" si="105"/>
        <v>145</v>
      </c>
      <c r="AM425" s="20">
        <f t="shared" si="106"/>
        <v>14500000</v>
      </c>
      <c r="AN425" s="20"/>
    </row>
    <row r="426" spans="17:45">
      <c r="Q426" s="97" t="s">
        <v>4186</v>
      </c>
      <c r="R426" s="93">
        <v>348201.66738</v>
      </c>
      <c r="T426" s="19" t="s">
        <v>5802</v>
      </c>
      <c r="U426" s="19">
        <v>157</v>
      </c>
      <c r="V426" s="115">
        <v>2221.2123710000001</v>
      </c>
      <c r="W426" s="115">
        <f t="shared" si="94"/>
        <v>348730.34224700002</v>
      </c>
      <c r="X426" s="276" t="s">
        <v>5808</v>
      </c>
      <c r="AA426" t="s">
        <v>25</v>
      </c>
      <c r="AH426" s="147">
        <v>160</v>
      </c>
      <c r="AI426" s="147" t="s">
        <v>5606</v>
      </c>
      <c r="AJ426" s="186">
        <v>150000</v>
      </c>
      <c r="AK426" s="147">
        <v>0</v>
      </c>
      <c r="AL426" s="147">
        <f t="shared" si="105"/>
        <v>144</v>
      </c>
      <c r="AM426" s="147">
        <f t="shared" si="106"/>
        <v>21600000</v>
      </c>
      <c r="AN426" s="147"/>
    </row>
    <row r="427" spans="17:45">
      <c r="Q427" s="97" t="s">
        <v>5673</v>
      </c>
      <c r="R427" s="93">
        <v>4158090.8935679998</v>
      </c>
      <c r="T427" s="19" t="s">
        <v>5802</v>
      </c>
      <c r="U427" s="19">
        <v>965</v>
      </c>
      <c r="V427" s="115">
        <v>2221.2123710000001</v>
      </c>
      <c r="W427" s="115">
        <f t="shared" si="94"/>
        <v>2143469.938015</v>
      </c>
      <c r="X427" s="276" t="s">
        <v>5140</v>
      </c>
      <c r="AH427" s="20">
        <v>161</v>
      </c>
      <c r="AI427" s="20" t="s">
        <v>5606</v>
      </c>
      <c r="AJ427" s="115">
        <v>-683050</v>
      </c>
      <c r="AK427" s="20">
        <v>7</v>
      </c>
      <c r="AL427" s="20">
        <f t="shared" si="105"/>
        <v>144</v>
      </c>
      <c r="AM427" s="20">
        <f t="shared" si="106"/>
        <v>-98359200</v>
      </c>
      <c r="AN427" s="20" t="s">
        <v>5620</v>
      </c>
    </row>
    <row r="428" spans="17:45">
      <c r="Q428" s="97" t="s">
        <v>5678</v>
      </c>
      <c r="R428" s="93">
        <v>110770524.97879399</v>
      </c>
      <c r="T428" s="187" t="s">
        <v>5810</v>
      </c>
      <c r="U428" s="187">
        <v>596</v>
      </c>
      <c r="V428" s="186">
        <v>2180.6765719999999</v>
      </c>
      <c r="W428" s="186">
        <f t="shared" si="94"/>
        <v>1299683.236912</v>
      </c>
      <c r="X428" s="275" t="s">
        <v>1071</v>
      </c>
      <c r="AH428" s="147">
        <v>162</v>
      </c>
      <c r="AI428" s="147" t="s">
        <v>5629</v>
      </c>
      <c r="AJ428" s="186">
        <v>200000</v>
      </c>
      <c r="AK428" s="147">
        <v>7</v>
      </c>
      <c r="AL428" s="147">
        <f t="shared" si="105"/>
        <v>137</v>
      </c>
      <c r="AM428" s="147">
        <f t="shared" si="106"/>
        <v>27400000</v>
      </c>
      <c r="AN428" s="147"/>
    </row>
    <row r="429" spans="17:45">
      <c r="Q429" s="97" t="s">
        <v>5674</v>
      </c>
      <c r="R429" s="93">
        <v>17900000</v>
      </c>
      <c r="T429" s="19" t="s">
        <v>5818</v>
      </c>
      <c r="U429" s="19">
        <v>1355</v>
      </c>
      <c r="V429" s="115">
        <v>2277.0926330000002</v>
      </c>
      <c r="W429" s="115">
        <f t="shared" si="94"/>
        <v>3085460.5177150001</v>
      </c>
      <c r="X429" s="276" t="s">
        <v>5140</v>
      </c>
      <c r="AH429" s="147">
        <v>163</v>
      </c>
      <c r="AI429" s="147" t="s">
        <v>5634</v>
      </c>
      <c r="AJ429" s="186">
        <v>150000</v>
      </c>
      <c r="AK429" s="147">
        <v>5</v>
      </c>
      <c r="AL429" s="147">
        <f t="shared" si="105"/>
        <v>130</v>
      </c>
      <c r="AM429" s="147">
        <f t="shared" si="106"/>
        <v>19500000</v>
      </c>
      <c r="AN429" s="147"/>
    </row>
    <row r="430" spans="17:45">
      <c r="Q430" s="97" t="s">
        <v>5678</v>
      </c>
      <c r="R430" s="93">
        <v>12114824.927374</v>
      </c>
      <c r="T430" s="19" t="s">
        <v>5820</v>
      </c>
      <c r="U430" s="19">
        <v>3742</v>
      </c>
      <c r="V430" s="115">
        <v>2207.7650429999999</v>
      </c>
      <c r="W430" s="115">
        <f t="shared" si="94"/>
        <v>8261456.790906</v>
      </c>
      <c r="X430" s="276" t="s">
        <v>5140</v>
      </c>
      <c r="Y430" t="s">
        <v>25</v>
      </c>
      <c r="AH430" s="20">
        <v>164</v>
      </c>
      <c r="AI430" s="20" t="s">
        <v>5638</v>
      </c>
      <c r="AJ430" s="115">
        <v>320000</v>
      </c>
      <c r="AK430" s="20">
        <v>2</v>
      </c>
      <c r="AL430" s="20">
        <f t="shared" si="105"/>
        <v>125</v>
      </c>
      <c r="AM430" s="20">
        <f t="shared" si="106"/>
        <v>40000000</v>
      </c>
      <c r="AN430" s="20"/>
    </row>
    <row r="431" spans="17:45">
      <c r="Q431" s="97" t="s">
        <v>5695</v>
      </c>
      <c r="R431" s="93">
        <v>6684147.0064600008</v>
      </c>
      <c r="T431" s="19" t="s">
        <v>5822</v>
      </c>
      <c r="U431" s="19">
        <v>3216</v>
      </c>
      <c r="V431" s="115">
        <v>2043.648557</v>
      </c>
      <c r="W431" s="115">
        <f t="shared" si="94"/>
        <v>6572373.7593120001</v>
      </c>
      <c r="X431" s="276" t="s">
        <v>5140</v>
      </c>
      <c r="Y431" t="s">
        <v>25</v>
      </c>
      <c r="AH431" s="20">
        <v>165</v>
      </c>
      <c r="AI431" s="20" t="s">
        <v>5639</v>
      </c>
      <c r="AJ431" s="115">
        <v>200000</v>
      </c>
      <c r="AK431" s="20">
        <v>29</v>
      </c>
      <c r="AL431" s="20">
        <f t="shared" si="105"/>
        <v>123</v>
      </c>
      <c r="AM431" s="20">
        <f t="shared" si="106"/>
        <v>24600000</v>
      </c>
      <c r="AN431" s="20"/>
    </row>
    <row r="432" spans="17:45">
      <c r="Q432" s="97" t="s">
        <v>5699</v>
      </c>
      <c r="R432" s="93">
        <v>1826535.2307560001</v>
      </c>
      <c r="T432" s="187" t="s">
        <v>5826</v>
      </c>
      <c r="U432" s="187">
        <v>42393</v>
      </c>
      <c r="V432" s="186">
        <v>2124.4852740000001</v>
      </c>
      <c r="W432" s="186">
        <f t="shared" si="94"/>
        <v>90063304.22068201</v>
      </c>
      <c r="X432" s="275" t="s">
        <v>5828</v>
      </c>
      <c r="AA432" t="s">
        <v>25</v>
      </c>
      <c r="AH432" s="20">
        <v>166</v>
      </c>
      <c r="AI432" s="20" t="s">
        <v>5674</v>
      </c>
      <c r="AJ432" s="115">
        <v>4200000</v>
      </c>
      <c r="AK432" s="20">
        <v>0</v>
      </c>
      <c r="AL432" s="20">
        <f t="shared" si="105"/>
        <v>94</v>
      </c>
      <c r="AM432" s="20">
        <f t="shared" si="106"/>
        <v>394800000</v>
      </c>
      <c r="AN432" s="20"/>
    </row>
    <row r="433" spans="17:45">
      <c r="Q433" s="97" t="s">
        <v>5703</v>
      </c>
      <c r="R433" s="93">
        <v>3577366.94</v>
      </c>
      <c r="T433" s="19" t="s">
        <v>5829</v>
      </c>
      <c r="U433" s="19">
        <v>1307</v>
      </c>
      <c r="V433" s="115">
        <v>2213.652313</v>
      </c>
      <c r="W433" s="115">
        <f t="shared" si="94"/>
        <v>2893243.5730909999</v>
      </c>
      <c r="X433" s="276" t="s">
        <v>5140</v>
      </c>
      <c r="Y433" t="s">
        <v>25</v>
      </c>
      <c r="AH433" s="147">
        <v>167</v>
      </c>
      <c r="AI433" s="147" t="s">
        <v>5674</v>
      </c>
      <c r="AJ433" s="186">
        <v>3300000</v>
      </c>
      <c r="AK433" s="147">
        <v>11</v>
      </c>
      <c r="AL433" s="147">
        <f t="shared" si="105"/>
        <v>94</v>
      </c>
      <c r="AM433" s="147">
        <f t="shared" si="106"/>
        <v>310200000</v>
      </c>
      <c r="AN433" s="147"/>
    </row>
    <row r="434" spans="17:45">
      <c r="Q434" s="97" t="s">
        <v>5705</v>
      </c>
      <c r="R434" s="93">
        <v>21239029.173567999</v>
      </c>
      <c r="T434" s="19" t="s">
        <v>5833</v>
      </c>
      <c r="U434" s="19">
        <v>44079</v>
      </c>
      <c r="V434" s="115">
        <v>2155.0411519999998</v>
      </c>
      <c r="W434" s="115">
        <f t="shared" si="94"/>
        <v>94992058.939007998</v>
      </c>
      <c r="X434" s="276" t="s">
        <v>5140</v>
      </c>
      <c r="Y434" t="s">
        <v>25</v>
      </c>
      <c r="AH434" s="147">
        <v>168</v>
      </c>
      <c r="AI434" s="147" t="s">
        <v>5705</v>
      </c>
      <c r="AJ434" s="186">
        <v>-1500000</v>
      </c>
      <c r="AK434" s="147">
        <v>42</v>
      </c>
      <c r="AL434" s="147">
        <f t="shared" si="105"/>
        <v>83</v>
      </c>
      <c r="AM434" s="147">
        <f t="shared" si="106"/>
        <v>-124500000</v>
      </c>
      <c r="AN434" s="147"/>
    </row>
    <row r="435" spans="17:45">
      <c r="Q435" s="97" t="s">
        <v>5710</v>
      </c>
      <c r="R435" s="93">
        <v>242957252.40163299</v>
      </c>
      <c r="T435" s="19" t="s">
        <v>5841</v>
      </c>
      <c r="U435" s="19">
        <v>131</v>
      </c>
      <c r="V435" s="115">
        <v>2099.4040150000001</v>
      </c>
      <c r="W435" s="115">
        <f t="shared" si="94"/>
        <v>275021.925965</v>
      </c>
      <c r="X435" s="276" t="s">
        <v>5140</v>
      </c>
      <c r="Y435" t="s">
        <v>25</v>
      </c>
      <c r="AH435" s="20">
        <v>169</v>
      </c>
      <c r="AI435" s="20" t="s">
        <v>5755</v>
      </c>
      <c r="AJ435" s="115">
        <v>260000</v>
      </c>
      <c r="AK435" s="20">
        <v>22</v>
      </c>
      <c r="AL435" s="20">
        <f t="shared" si="105"/>
        <v>41</v>
      </c>
      <c r="AM435" s="20">
        <f t="shared" si="106"/>
        <v>10660000</v>
      </c>
      <c r="AN435" s="20"/>
      <c r="AQ435" t="s">
        <v>25</v>
      </c>
    </row>
    <row r="436" spans="17:45">
      <c r="Q436" s="97" t="s">
        <v>5715</v>
      </c>
      <c r="R436" s="93">
        <v>7357181.2750800001</v>
      </c>
      <c r="T436" s="19" t="s">
        <v>5851</v>
      </c>
      <c r="U436" s="19">
        <v>162</v>
      </c>
      <c r="V436" s="115">
        <v>2021.3081500000001</v>
      </c>
      <c r="W436" s="115">
        <f t="shared" si="94"/>
        <v>327451.9203</v>
      </c>
      <c r="X436" s="276" t="s">
        <v>5140</v>
      </c>
      <c r="AH436" s="20">
        <v>170</v>
      </c>
      <c r="AI436" s="20" t="s">
        <v>5791</v>
      </c>
      <c r="AJ436" s="115">
        <v>20000</v>
      </c>
      <c r="AK436" s="20">
        <v>0</v>
      </c>
      <c r="AL436" s="20">
        <f t="shared" si="105"/>
        <v>19</v>
      </c>
      <c r="AM436" s="20">
        <f t="shared" si="106"/>
        <v>380000</v>
      </c>
      <c r="AN436" s="20"/>
    </row>
    <row r="437" spans="17:45">
      <c r="Q437" s="97" t="s">
        <v>5716</v>
      </c>
      <c r="R437" s="93">
        <v>14951411.942400001</v>
      </c>
      <c r="T437" s="19"/>
      <c r="U437" s="19"/>
      <c r="V437" s="115"/>
      <c r="W437" s="115"/>
      <c r="X437" s="276"/>
      <c r="Z437" t="s">
        <v>25</v>
      </c>
      <c r="AH437" s="193">
        <v>171</v>
      </c>
      <c r="AI437" s="193" t="s">
        <v>5791</v>
      </c>
      <c r="AJ437" s="194">
        <v>20000</v>
      </c>
      <c r="AK437" s="193">
        <v>7</v>
      </c>
      <c r="AL437" s="147">
        <f t="shared" ref="AL437:AL448" si="107">AK437+AL438</f>
        <v>19</v>
      </c>
      <c r="AM437" s="147">
        <f t="shared" ref="AM437:AM448" si="108">AJ437*AL437</f>
        <v>380000</v>
      </c>
      <c r="AN437" s="193"/>
    </row>
    <row r="438" spans="17:45">
      <c r="Q438" s="97" t="s">
        <v>5720</v>
      </c>
      <c r="R438" s="93">
        <v>47928209.377011999</v>
      </c>
      <c r="T438" s="19"/>
      <c r="U438" s="19"/>
      <c r="V438" s="115"/>
      <c r="W438" s="115">
        <f t="shared" si="94"/>
        <v>0</v>
      </c>
      <c r="X438" s="276"/>
      <c r="AH438" s="147">
        <v>172</v>
      </c>
      <c r="AI438" s="147" t="s">
        <v>5802</v>
      </c>
      <c r="AJ438" s="186">
        <v>70000</v>
      </c>
      <c r="AK438" s="147">
        <v>0</v>
      </c>
      <c r="AL438" s="147">
        <f t="shared" si="107"/>
        <v>12</v>
      </c>
      <c r="AM438" s="147">
        <f t="shared" si="108"/>
        <v>840000</v>
      </c>
      <c r="AN438" s="147"/>
    </row>
    <row r="439" spans="17:45">
      <c r="Q439" s="97" t="s">
        <v>5722</v>
      </c>
      <c r="R439" s="93">
        <v>2281595.69937</v>
      </c>
      <c r="T439" s="19"/>
      <c r="U439" s="19"/>
      <c r="V439" s="115"/>
      <c r="W439" s="115">
        <f t="shared" si="94"/>
        <v>0</v>
      </c>
      <c r="X439" s="276"/>
      <c r="Z439" t="s">
        <v>25</v>
      </c>
      <c r="AH439" s="20">
        <v>173</v>
      </c>
      <c r="AI439" s="20" t="s">
        <v>5802</v>
      </c>
      <c r="AJ439" s="115">
        <v>70000</v>
      </c>
      <c r="AK439" s="20">
        <v>1</v>
      </c>
      <c r="AL439" s="20">
        <f t="shared" si="107"/>
        <v>12</v>
      </c>
      <c r="AM439" s="20">
        <f t="shared" si="108"/>
        <v>840000</v>
      </c>
      <c r="AN439" s="20"/>
      <c r="AS439" t="s">
        <v>25</v>
      </c>
    </row>
    <row r="440" spans="17:45">
      <c r="Q440" s="97" t="s">
        <v>5724</v>
      </c>
      <c r="R440" s="93">
        <v>2964916.035069</v>
      </c>
      <c r="T440" s="97"/>
      <c r="U440" s="166"/>
      <c r="V440" s="111"/>
      <c r="W440" s="115">
        <f t="shared" si="94"/>
        <v>0</v>
      </c>
      <c r="X440" s="97"/>
      <c r="Z440" t="s">
        <v>25</v>
      </c>
      <c r="AH440" s="20">
        <v>174</v>
      </c>
      <c r="AI440" s="20" t="s">
        <v>5810</v>
      </c>
      <c r="AJ440" s="115">
        <v>330000</v>
      </c>
      <c r="AK440" s="20">
        <v>0</v>
      </c>
      <c r="AL440" s="20">
        <f t="shared" si="107"/>
        <v>11</v>
      </c>
      <c r="AM440" s="20">
        <f t="shared" si="108"/>
        <v>3630000</v>
      </c>
      <c r="AN440" s="20"/>
    </row>
    <row r="441" spans="17:45">
      <c r="Q441" s="97" t="s">
        <v>5725</v>
      </c>
      <c r="R441" s="93">
        <v>6460549.4269619994</v>
      </c>
      <c r="T441" s="166"/>
      <c r="U441" s="166">
        <f>SUM(U147:U440)</f>
        <v>4425853</v>
      </c>
      <c r="V441" s="97"/>
      <c r="W441" s="97"/>
      <c r="X441" s="97"/>
      <c r="Z441" t="s">
        <v>25</v>
      </c>
      <c r="AH441" s="147">
        <v>175</v>
      </c>
      <c r="AI441" s="147" t="s">
        <v>5810</v>
      </c>
      <c r="AJ441" s="186">
        <v>330000</v>
      </c>
      <c r="AK441" s="147">
        <v>10</v>
      </c>
      <c r="AL441" s="147">
        <f t="shared" ref="AL441:AL447" si="109">AK441+AL442</f>
        <v>11</v>
      </c>
      <c r="AM441" s="147">
        <f t="shared" ref="AM441:AM447" si="110">AJ441*AL441</f>
        <v>3630000</v>
      </c>
      <c r="AN441" s="147"/>
    </row>
    <row r="442" spans="17:45">
      <c r="Q442" s="97" t="s">
        <v>5727</v>
      </c>
      <c r="R442" s="93">
        <v>5212319.8968359996</v>
      </c>
      <c r="T442" s="97"/>
      <c r="U442" s="97" t="s">
        <v>6</v>
      </c>
      <c r="V442" s="97"/>
      <c r="W442" s="97"/>
      <c r="X442" s="97"/>
      <c r="AH442" s="147">
        <v>176</v>
      </c>
      <c r="AI442" s="147" t="s">
        <v>5826</v>
      </c>
      <c r="AJ442" s="186">
        <v>90000000</v>
      </c>
      <c r="AK442" s="147">
        <v>1</v>
      </c>
      <c r="AL442" s="147">
        <f t="shared" si="109"/>
        <v>1</v>
      </c>
      <c r="AM442" s="147">
        <f t="shared" si="110"/>
        <v>90000000</v>
      </c>
      <c r="AN442" s="147"/>
    </row>
    <row r="443" spans="17:45">
      <c r="Q443" s="97" t="s">
        <v>5730</v>
      </c>
      <c r="R443" s="93">
        <v>4524496.4792809999</v>
      </c>
      <c r="T443" s="198" t="s">
        <v>4439</v>
      </c>
      <c r="AH443" s="20"/>
      <c r="AI443" s="20"/>
      <c r="AJ443" s="115"/>
      <c r="AK443" s="20"/>
      <c r="AL443" s="20">
        <f t="shared" si="109"/>
        <v>0</v>
      </c>
      <c r="AM443" s="20">
        <f t="shared" si="110"/>
        <v>0</v>
      </c>
      <c r="AN443" s="20"/>
    </row>
    <row r="444" spans="17:45">
      <c r="Q444" s="97" t="s">
        <v>5732</v>
      </c>
      <c r="R444" s="93">
        <v>22866040.240959998</v>
      </c>
      <c r="T444" s="197">
        <f>R164/U441</f>
        <v>2021.3081500899375</v>
      </c>
      <c r="X444" t="s">
        <v>25</v>
      </c>
      <c r="AA444" t="s">
        <v>25</v>
      </c>
      <c r="AH444" s="20"/>
      <c r="AI444" s="20"/>
      <c r="AJ444" s="115"/>
      <c r="AK444" s="20"/>
      <c r="AL444" s="20">
        <f t="shared" si="109"/>
        <v>0</v>
      </c>
      <c r="AM444" s="20">
        <f t="shared" si="110"/>
        <v>0</v>
      </c>
      <c r="AN444" s="20"/>
      <c r="AR444" t="s">
        <v>25</v>
      </c>
    </row>
    <row r="445" spans="17:45">
      <c r="Q445" s="97" t="s">
        <v>5734</v>
      </c>
      <c r="R445" s="93">
        <v>15359304.269892</v>
      </c>
      <c r="W445" s="112"/>
      <c r="X445" t="s">
        <v>25</v>
      </c>
      <c r="AH445" s="20"/>
      <c r="AI445" s="20"/>
      <c r="AJ445" s="115"/>
      <c r="AK445" s="20"/>
      <c r="AL445" s="20">
        <f t="shared" si="109"/>
        <v>0</v>
      </c>
      <c r="AM445" s="20">
        <f t="shared" si="110"/>
        <v>0</v>
      </c>
      <c r="AN445" s="20"/>
    </row>
    <row r="446" spans="17:45">
      <c r="Q446" s="97" t="s">
        <v>5736</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5737</v>
      </c>
      <c r="R447" s="93">
        <v>17450393.011856001</v>
      </c>
      <c r="T447" s="112"/>
      <c r="U447" s="93">
        <v>-328713</v>
      </c>
      <c r="V447">
        <f>U447/T444</f>
        <v>-162.62389284156106</v>
      </c>
      <c r="X447" t="s">
        <v>25</v>
      </c>
      <c r="AH447" s="97"/>
      <c r="AI447" s="97"/>
      <c r="AJ447" s="115"/>
      <c r="AK447" s="97"/>
      <c r="AL447" s="20">
        <f t="shared" si="109"/>
        <v>0</v>
      </c>
      <c r="AM447" s="20">
        <f t="shared" si="110"/>
        <v>0</v>
      </c>
      <c r="AN447" s="20"/>
    </row>
    <row r="448" spans="17:45">
      <c r="Q448" s="97" t="s">
        <v>5738</v>
      </c>
      <c r="R448" s="93">
        <v>31388943.254850004</v>
      </c>
      <c r="T448" t="s">
        <v>25</v>
      </c>
      <c r="X448" t="s">
        <v>25</v>
      </c>
      <c r="AH448" s="97"/>
      <c r="AI448" s="97"/>
      <c r="AJ448" s="115"/>
      <c r="AK448" s="97"/>
      <c r="AL448" s="20">
        <f t="shared" si="107"/>
        <v>0</v>
      </c>
      <c r="AM448" s="20">
        <f t="shared" si="108"/>
        <v>0</v>
      </c>
      <c r="AN448" s="97"/>
    </row>
    <row r="449" spans="17:44">
      <c r="Q449" s="97" t="s">
        <v>5739</v>
      </c>
      <c r="R449" s="93">
        <v>30912095.373174001</v>
      </c>
      <c r="T449" t="s">
        <v>25</v>
      </c>
      <c r="U449" s="94" t="s">
        <v>25</v>
      </c>
      <c r="V449" s="22"/>
      <c r="W449" s="219"/>
      <c r="X449" s="286" t="s">
        <v>25</v>
      </c>
      <c r="AH449" s="97"/>
      <c r="AI449" s="97"/>
      <c r="AJ449" s="93">
        <f>SUM(AJ267:AJ448)</f>
        <v>257800355</v>
      </c>
      <c r="AK449" s="97"/>
      <c r="AL449" s="97"/>
      <c r="AM449" s="97">
        <f>SUM(AM267:AM448)</f>
        <v>201723995044</v>
      </c>
      <c r="AN449" s="93">
        <f>AM449*AN253/31</f>
        <v>108455929.85155962</v>
      </c>
      <c r="AR449" t="s">
        <v>25</v>
      </c>
    </row>
    <row r="450" spans="17:44">
      <c r="Q450" s="97" t="s">
        <v>5741</v>
      </c>
      <c r="R450" s="93">
        <v>19602926.115093999</v>
      </c>
      <c r="V450" t="s">
        <v>25</v>
      </c>
      <c r="X450" t="s">
        <v>25</v>
      </c>
      <c r="AJ450" t="s">
        <v>4043</v>
      </c>
      <c r="AM450" t="s">
        <v>284</v>
      </c>
      <c r="AN450" t="s">
        <v>928</v>
      </c>
    </row>
    <row r="451" spans="17:44">
      <c r="Q451" s="97" t="s">
        <v>5745</v>
      </c>
      <c r="R451" s="93">
        <v>34458590.308710001</v>
      </c>
      <c r="W451" s="112"/>
      <c r="X451" t="s">
        <v>25</v>
      </c>
      <c r="AF451" s="94" t="s">
        <v>25</v>
      </c>
    </row>
    <row r="452" spans="17:44" ht="60">
      <c r="Q452" s="97" t="s">
        <v>5748</v>
      </c>
      <c r="R452" s="93">
        <v>21697868.203256</v>
      </c>
      <c r="T452" s="22" t="s">
        <v>4425</v>
      </c>
      <c r="V452" s="219"/>
      <c r="AI452" t="s">
        <v>4045</v>
      </c>
      <c r="AJ452" s="112">
        <f>AJ449+AN449</f>
        <v>366256284.85155964</v>
      </c>
    </row>
    <row r="453" spans="17:44" ht="45">
      <c r="Q453" s="97" t="s">
        <v>5750</v>
      </c>
      <c r="R453" s="93">
        <v>25340079.252110001</v>
      </c>
      <c r="T453" s="22" t="s">
        <v>4426</v>
      </c>
      <c r="W453" s="286"/>
      <c r="AI453" t="s">
        <v>4048</v>
      </c>
      <c r="AJ453" s="112">
        <f>SUM(N20:N28)</f>
        <v>3456052732</v>
      </c>
    </row>
    <row r="454" spans="17:44">
      <c r="Q454" s="97" t="s">
        <v>5751</v>
      </c>
      <c r="R454" s="93">
        <v>14780983.183526</v>
      </c>
      <c r="AI454" t="s">
        <v>4119</v>
      </c>
      <c r="AJ454" s="112">
        <f>AJ453-AJ449</f>
        <v>3198252377</v>
      </c>
    </row>
    <row r="455" spans="17:44">
      <c r="Q455" s="97" t="s">
        <v>5755</v>
      </c>
      <c r="R455" s="93">
        <v>17804396.448481999</v>
      </c>
      <c r="AI455" t="s">
        <v>928</v>
      </c>
      <c r="AJ455" s="112">
        <f>AN449</f>
        <v>108455929.85155962</v>
      </c>
    </row>
    <row r="456" spans="17:44">
      <c r="Q456" s="97" t="s">
        <v>5755</v>
      </c>
      <c r="R456" s="93">
        <v>260260000</v>
      </c>
      <c r="T456" s="97" t="s">
        <v>4441</v>
      </c>
      <c r="U456" s="97" t="s">
        <v>4420</v>
      </c>
      <c r="V456" s="97" t="s">
        <v>938</v>
      </c>
      <c r="W456" s="72" t="s">
        <v>5600</v>
      </c>
      <c r="AI456" t="s">
        <v>4049</v>
      </c>
      <c r="AJ456" s="112">
        <f>AJ454-AJ455</f>
        <v>3089796447.1484404</v>
      </c>
      <c r="AM456" t="s">
        <v>25</v>
      </c>
      <c r="AN456" t="s">
        <v>25</v>
      </c>
    </row>
    <row r="457" spans="17:44">
      <c r="Q457" s="97" t="s">
        <v>5760</v>
      </c>
      <c r="R457" s="93">
        <v>11538335.631417999</v>
      </c>
      <c r="T457" s="93">
        <f>S229+R288+R480</f>
        <v>2622479542.9793787</v>
      </c>
      <c r="U457" s="93">
        <f>R164</f>
        <v>8946012740</v>
      </c>
      <c r="V457" s="93">
        <f>U457-T457</f>
        <v>6323533197.0206213</v>
      </c>
      <c r="AL457" t="s">
        <v>25</v>
      </c>
      <c r="AM457" t="s">
        <v>25</v>
      </c>
      <c r="AN457" t="s">
        <v>25</v>
      </c>
    </row>
    <row r="458" spans="17:44">
      <c r="Q458" s="97" t="s">
        <v>5761</v>
      </c>
      <c r="R458" s="93">
        <v>12429517.767776001</v>
      </c>
      <c r="W458" s="94" t="s">
        <v>25</v>
      </c>
    </row>
    <row r="459" spans="17:44">
      <c r="Q459" s="97" t="s">
        <v>5773</v>
      </c>
      <c r="R459" s="93">
        <v>5031176.5087869996</v>
      </c>
    </row>
    <row r="460" spans="17:44">
      <c r="Q460" s="97" t="s">
        <v>5776</v>
      </c>
      <c r="R460" s="93">
        <v>6822803.9080700008</v>
      </c>
      <c r="T460" s="115"/>
      <c r="V460" s="112">
        <f>(444000000+2500000)*2/3</f>
        <v>297666666.66666669</v>
      </c>
      <c r="AN460" t="s">
        <v>25</v>
      </c>
    </row>
    <row r="461" spans="17:44">
      <c r="Q461" s="97" t="s">
        <v>5780</v>
      </c>
      <c r="R461" s="93">
        <v>330889.73324399994</v>
      </c>
      <c r="AN461" t="s">
        <v>25</v>
      </c>
    </row>
    <row r="462" spans="17:44">
      <c r="Q462" s="97" t="s">
        <v>5790</v>
      </c>
      <c r="R462" s="93">
        <v>6610318.1610199995</v>
      </c>
      <c r="T462" s="112">
        <f>W299+W300+W302+W303+W305+W306</f>
        <v>-301699041.74755996</v>
      </c>
    </row>
    <row r="463" spans="17:44">
      <c r="Q463" s="97" t="s">
        <v>5791</v>
      </c>
      <c r="R463" s="93">
        <v>710713.17725199996</v>
      </c>
      <c r="T463" t="s">
        <v>25</v>
      </c>
    </row>
    <row r="464" spans="17:44">
      <c r="Q464" s="97" t="s">
        <v>5793</v>
      </c>
      <c r="R464" s="93">
        <v>81025</v>
      </c>
      <c r="T464" s="112">
        <f>V460+T462</f>
        <v>-4032375.0808932781</v>
      </c>
    </row>
    <row r="465" spans="17:24">
      <c r="Q465" s="97" t="s">
        <v>5797</v>
      </c>
      <c r="R465" s="93">
        <v>219696.613128</v>
      </c>
      <c r="T465" t="s">
        <v>25</v>
      </c>
    </row>
    <row r="466" spans="17:24">
      <c r="Q466" s="97" t="s">
        <v>5798</v>
      </c>
      <c r="R466" s="93">
        <v>6035472.4070199998</v>
      </c>
      <c r="T466" t="s">
        <v>25</v>
      </c>
    </row>
    <row r="467" spans="17:24">
      <c r="Q467" s="97" t="s">
        <v>5800</v>
      </c>
      <c r="R467" s="93">
        <v>984486.34963200008</v>
      </c>
    </row>
    <row r="468" spans="17:24">
      <c r="Q468" s="97" t="s">
        <v>5802</v>
      </c>
      <c r="R468" s="93">
        <v>2143469.938015</v>
      </c>
    </row>
    <row r="469" spans="17:24">
      <c r="Q469" s="97" t="s">
        <v>5818</v>
      </c>
      <c r="R469" s="93">
        <v>3085460.5177150001</v>
      </c>
      <c r="T469" t="s">
        <v>25</v>
      </c>
    </row>
    <row r="470" spans="17:24">
      <c r="Q470" s="97" t="s">
        <v>5820</v>
      </c>
      <c r="R470" s="93">
        <v>8261456.790906</v>
      </c>
      <c r="T470" t="s">
        <v>25</v>
      </c>
    </row>
    <row r="471" spans="17:24">
      <c r="Q471" s="97" t="s">
        <v>5822</v>
      </c>
      <c r="R471" s="93">
        <v>6572373.7593120001</v>
      </c>
      <c r="U471" s="94" t="s">
        <v>25</v>
      </c>
      <c r="W471" s="94" t="s">
        <v>25</v>
      </c>
    </row>
    <row r="472" spans="17:24">
      <c r="Q472" s="97" t="s">
        <v>5829</v>
      </c>
      <c r="R472" s="93">
        <v>2893243.5730909999</v>
      </c>
      <c r="T472" t="s">
        <v>5832</v>
      </c>
      <c r="X472" t="s">
        <v>25</v>
      </c>
    </row>
    <row r="473" spans="17:24">
      <c r="Q473" s="97" t="s">
        <v>5833</v>
      </c>
      <c r="R473" s="93">
        <v>94992058.939007998</v>
      </c>
      <c r="T473" t="s">
        <v>25</v>
      </c>
      <c r="V473" t="s">
        <v>25</v>
      </c>
    </row>
    <row r="474" spans="17:24">
      <c r="Q474" s="97" t="s">
        <v>5841</v>
      </c>
      <c r="R474" s="93">
        <v>275021.925965</v>
      </c>
      <c r="T474" t="s">
        <v>25</v>
      </c>
      <c r="U474" s="94" t="s">
        <v>25</v>
      </c>
    </row>
    <row r="475" spans="17:24">
      <c r="Q475" s="97" t="s">
        <v>5851</v>
      </c>
      <c r="R475" s="93">
        <v>327451.9203</v>
      </c>
      <c r="T475" t="s">
        <v>25</v>
      </c>
      <c r="U475" s="94" t="s">
        <v>25</v>
      </c>
      <c r="V475" t="s">
        <v>25</v>
      </c>
    </row>
    <row r="476" spans="17:24">
      <c r="Q476" s="97"/>
      <c r="R476" s="93"/>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2345582559.5279789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2:S103 S107 S109 S112 S11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0"/>
  <sheetViews>
    <sheetView topLeftCell="A81" zoomScale="70" zoomScaleNormal="70" workbookViewId="0">
      <selection activeCell="H100" sqref="H10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5817</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5833</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5833</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C114</f>
        <v>22400</v>
      </c>
      <c r="D92" s="287">
        <v>1</v>
      </c>
      <c r="E92" s="60" t="s">
        <v>4358</v>
      </c>
      <c r="F92" s="49">
        <f>C115</f>
        <v>16140</v>
      </c>
      <c r="G92" s="60">
        <f>C92*D92*0.99114/(F92*1.0037158)</f>
        <v>1.3704674682824713</v>
      </c>
      <c r="H92" s="205">
        <f>C92/F92</f>
        <v>1.3878562577447335</v>
      </c>
      <c r="I92" s="317">
        <f>F92/C92</f>
        <v>0.72053571428571428</v>
      </c>
      <c r="J92" s="20"/>
      <c r="K92" s="20">
        <f>H92/H89</f>
        <v>1.0465642790730652</v>
      </c>
      <c r="L92" s="20">
        <f>(1/K92-1.0256)*100</f>
        <v>-7.0092517090595603</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5773</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5841</v>
      </c>
      <c r="B95" s="60" t="s">
        <v>4358</v>
      </c>
      <c r="C95" s="49">
        <v>16700</v>
      </c>
      <c r="D95" s="23">
        <v>977</v>
      </c>
      <c r="E95" s="289" t="s">
        <v>4220</v>
      </c>
      <c r="F95" s="291">
        <v>1237</v>
      </c>
      <c r="G95" s="289">
        <f t="shared" ref="G95:G101" si="20">C95*D95*0.99114/(F95*1.0037158)</f>
        <v>13024.635497574944</v>
      </c>
      <c r="H95" s="290">
        <f t="shared" ref="H95:H101" si="21">C95/F95</f>
        <v>13.500404203718674</v>
      </c>
      <c r="I95" s="301">
        <f t="shared" ref="I95:I101"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22500</v>
      </c>
      <c r="Y95" s="115">
        <f>T95*X95</f>
        <v>19665000</v>
      </c>
    </row>
    <row r="96" spans="1:25">
      <c r="A96" s="60" t="s">
        <v>5848</v>
      </c>
      <c r="B96" s="60" t="s">
        <v>4358</v>
      </c>
      <c r="C96" s="49">
        <v>16239</v>
      </c>
      <c r="D96" s="60">
        <v>200</v>
      </c>
      <c r="E96" s="289" t="s">
        <v>4220</v>
      </c>
      <c r="F96" s="291">
        <v>1191</v>
      </c>
      <c r="G96" s="289">
        <f t="shared" si="20"/>
        <v>2692.7854927541857</v>
      </c>
      <c r="H96" s="290">
        <f t="shared" si="21"/>
        <v>13.634760705289672</v>
      </c>
      <c r="I96" s="301">
        <f t="shared" si="22"/>
        <v>7.334195455385184E-2</v>
      </c>
      <c r="J96" s="20"/>
      <c r="K96" s="20">
        <f t="shared" ref="K96:K97" si="23">H96/H95</f>
        <v>1.0099520354756482</v>
      </c>
      <c r="L96" s="20"/>
      <c r="M96" s="20"/>
      <c r="N96" s="20"/>
      <c r="R96" s="97"/>
      <c r="S96" s="97" t="s">
        <v>4220</v>
      </c>
      <c r="T96" s="97">
        <v>295000</v>
      </c>
      <c r="U96" s="115">
        <v>148594302</v>
      </c>
      <c r="V96" s="115">
        <f>U96/T96</f>
        <v>503.70949830508476</v>
      </c>
      <c r="W96" s="115">
        <f>V96*1.01</f>
        <v>508.74659328813561</v>
      </c>
      <c r="X96" s="97">
        <f>'برنامه 5 ساله'!P28</f>
        <v>1200</v>
      </c>
      <c r="Y96" s="115">
        <f>T96*X96</f>
        <v>354000000</v>
      </c>
    </row>
    <row r="97" spans="1:27">
      <c r="A97" s="60" t="s">
        <v>5851</v>
      </c>
      <c r="B97" s="60" t="s">
        <v>4358</v>
      </c>
      <c r="C97" s="49">
        <v>16598</v>
      </c>
      <c r="D97" s="60">
        <v>400</v>
      </c>
      <c r="E97" s="289" t="s">
        <v>4220</v>
      </c>
      <c r="F97" s="291">
        <v>1185</v>
      </c>
      <c r="G97" s="289">
        <f t="shared" si="20"/>
        <v>5532.5028222157425</v>
      </c>
      <c r="H97" s="290">
        <f t="shared" si="21"/>
        <v>14.006751054852321</v>
      </c>
      <c r="I97" s="301">
        <f t="shared" si="22"/>
        <v>7.139414387275575E-2</v>
      </c>
      <c r="J97" s="20"/>
      <c r="K97" s="20">
        <f t="shared" si="23"/>
        <v>1.0272824993120953</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c r="H98" s="290"/>
      <c r="I98" s="301"/>
      <c r="J98" s="20"/>
      <c r="K98" s="20"/>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c r="C99" s="49"/>
      <c r="D99" s="60"/>
      <c r="E99" s="289"/>
      <c r="F99" s="291"/>
      <c r="G99" s="289"/>
      <c r="H99" s="290"/>
      <c r="I99" s="301"/>
      <c r="J99" s="20"/>
      <c r="K99" s="20"/>
      <c r="L99" s="20"/>
      <c r="M99" s="20"/>
      <c r="N99" s="20"/>
      <c r="R99" s="97" t="s">
        <v>5417</v>
      </c>
      <c r="S99" s="97" t="s">
        <v>4519</v>
      </c>
      <c r="T99" s="97">
        <v>0</v>
      </c>
      <c r="U99" s="115">
        <v>270969</v>
      </c>
      <c r="V99" s="115"/>
      <c r="W99" s="115"/>
      <c r="X99" s="97">
        <v>1500</v>
      </c>
      <c r="Y99" s="115">
        <f>U99</f>
        <v>270969</v>
      </c>
      <c r="AA99" t="s">
        <v>25</v>
      </c>
    </row>
    <row r="100" spans="1:27">
      <c r="A100" s="60"/>
      <c r="B100" s="60"/>
      <c r="C100" s="49"/>
      <c r="D100" s="60"/>
      <c r="E100" s="289"/>
      <c r="F100" s="291"/>
      <c r="G100" s="289"/>
      <c r="H100" s="290"/>
      <c r="I100" s="301"/>
      <c r="J100" s="20"/>
      <c r="K100" s="20"/>
      <c r="L100" s="20"/>
      <c r="M100" s="20"/>
      <c r="N100" s="20"/>
      <c r="R100" s="97"/>
      <c r="S100" s="97"/>
      <c r="T100" s="97"/>
      <c r="U100" s="115"/>
      <c r="V100" s="115"/>
      <c r="W100" s="97"/>
      <c r="X100" s="97"/>
      <c r="Y100" s="97"/>
    </row>
    <row r="101" spans="1:27">
      <c r="A101" s="60"/>
      <c r="B101" s="60"/>
      <c r="C101" s="49"/>
      <c r="D101" s="60"/>
      <c r="E101" s="289"/>
      <c r="F101" s="291"/>
      <c r="G101" s="289" t="e">
        <f t="shared" si="20"/>
        <v>#DIV/0!</v>
      </c>
      <c r="H101" s="290" t="e">
        <f t="shared" si="21"/>
        <v>#DIV/0!</v>
      </c>
      <c r="I101" s="301" t="e">
        <f t="shared" si="22"/>
        <v>#DIV/0!</v>
      </c>
      <c r="J101" s="20"/>
      <c r="K101" s="20" t="e">
        <f>H101/H97</f>
        <v>#DIV/0!</v>
      </c>
      <c r="L101" s="20"/>
      <c r="M101" s="20"/>
      <c r="N101" s="20"/>
      <c r="O101" t="s">
        <v>25</v>
      </c>
      <c r="P101" t="s">
        <v>25</v>
      </c>
      <c r="R101" s="97"/>
      <c r="S101" s="97"/>
      <c r="T101" s="97"/>
      <c r="U101" s="115"/>
      <c r="V101" s="115"/>
      <c r="W101" s="97"/>
      <c r="X101" s="97"/>
      <c r="Y101" s="97"/>
    </row>
    <row r="102" spans="1:27">
      <c r="A102" s="60"/>
      <c r="B102" s="60" t="s">
        <v>4358</v>
      </c>
      <c r="C102" s="49">
        <f>C115</f>
        <v>16140</v>
      </c>
      <c r="D102" s="60">
        <v>1</v>
      </c>
      <c r="E102" s="289" t="s">
        <v>4220</v>
      </c>
      <c r="F102" s="291">
        <f>C113</f>
        <v>1240</v>
      </c>
      <c r="G102" s="289">
        <f t="shared" ref="G102" si="24">C102*D102*0.99114/(F102*1.0037158)</f>
        <v>12.853046777815255</v>
      </c>
      <c r="H102" s="290">
        <f>C102/F102</f>
        <v>13.016129032258064</v>
      </c>
      <c r="I102" s="301">
        <f>F102/C102</f>
        <v>7.6827757125154897E-2</v>
      </c>
      <c r="J102" s="97"/>
      <c r="K102" s="97">
        <f>H102/H95</f>
        <v>0.96412883909600156</v>
      </c>
      <c r="L102" s="97">
        <f>(1/K102-1.0256)*100</f>
        <v>1.1605775254718287</v>
      </c>
      <c r="M102" s="97"/>
      <c r="N102" s="97"/>
      <c r="P102" t="s">
        <v>25</v>
      </c>
      <c r="Q102" t="s">
        <v>25</v>
      </c>
      <c r="R102" s="97"/>
      <c r="S102" s="97"/>
      <c r="T102" s="97"/>
      <c r="U102" s="115">
        <v>159900000</v>
      </c>
      <c r="V102" s="115"/>
      <c r="W102" s="97"/>
      <c r="X102" s="97"/>
      <c r="Y102" s="93">
        <f>SUM(Y95:Y99)</f>
        <v>382029261</v>
      </c>
    </row>
    <row r="103" spans="1:27">
      <c r="A103" s="295"/>
      <c r="B103" s="295"/>
      <c r="C103" s="296"/>
      <c r="D103" s="295"/>
      <c r="E103" s="295"/>
      <c r="F103" s="296"/>
      <c r="G103" s="295"/>
      <c r="H103" s="297"/>
      <c r="I103" s="302"/>
      <c r="J103" s="295"/>
      <c r="K103" s="295"/>
      <c r="L103" s="295"/>
      <c r="M103" s="295"/>
      <c r="N103" s="97"/>
      <c r="O103" t="s">
        <v>25</v>
      </c>
      <c r="R103" s="97"/>
      <c r="S103" s="97"/>
      <c r="T103" s="97"/>
      <c r="U103" s="115"/>
      <c r="V103" s="115"/>
      <c r="W103" s="97"/>
      <c r="X103" s="97"/>
      <c r="Y103" s="97"/>
    </row>
    <row r="104" spans="1:27" ht="19.5">
      <c r="A104" s="287" t="s">
        <v>5833</v>
      </c>
      <c r="B104" s="287" t="s">
        <v>4362</v>
      </c>
      <c r="C104" s="288">
        <v>21532</v>
      </c>
      <c r="D104" s="287">
        <v>29643</v>
      </c>
      <c r="E104" s="289" t="s">
        <v>4220</v>
      </c>
      <c r="F104" s="291">
        <v>1304.9000000000001</v>
      </c>
      <c r="G104" s="322">
        <f t="shared" ref="G104" si="25">C104*D104*0.99114/(F104*1.0037158)</f>
        <v>483007.12468158372</v>
      </c>
      <c r="H104" s="323">
        <f t="shared" ref="H104" si="26">C104/F104</f>
        <v>16.500881293585714</v>
      </c>
      <c r="I104" s="301">
        <f t="shared" ref="I104" si="27">F104/C104</f>
        <v>6.0602823704254134E-2</v>
      </c>
      <c r="J104" s="97"/>
      <c r="K104" s="303">
        <v>1</v>
      </c>
      <c r="L104" s="312"/>
      <c r="M104" s="217" t="s">
        <v>5542</v>
      </c>
      <c r="N104" s="97"/>
      <c r="P104" t="s">
        <v>25</v>
      </c>
      <c r="R104" s="97"/>
      <c r="S104" s="97"/>
      <c r="T104" s="97"/>
      <c r="U104" s="97"/>
      <c r="V104" s="97"/>
      <c r="W104" s="97"/>
      <c r="X104" s="97"/>
      <c r="Y104" s="97"/>
    </row>
    <row r="105" spans="1:27" ht="19.5">
      <c r="A105" s="287" t="s">
        <v>5837</v>
      </c>
      <c r="B105" s="287" t="s">
        <v>4362</v>
      </c>
      <c r="C105" s="288">
        <v>21532</v>
      </c>
      <c r="D105" s="287">
        <v>7188</v>
      </c>
      <c r="E105" s="289" t="s">
        <v>4220</v>
      </c>
      <c r="F105" s="291">
        <v>1285</v>
      </c>
      <c r="G105" s="322">
        <f t="shared" ref="G105:G109" si="28">C105*D105*0.99114/(F105*1.0037158)</f>
        <v>118936.06200201136</v>
      </c>
      <c r="H105" s="323">
        <f t="shared" ref="H105:H109" si="29">C105/F105</f>
        <v>16.756420233463036</v>
      </c>
      <c r="I105" s="301">
        <f t="shared" ref="I105:I109" si="30">F105/C105</f>
        <v>5.9678617871075611E-2</v>
      </c>
      <c r="J105" s="97"/>
      <c r="K105" s="303">
        <f>H105/H104</f>
        <v>1.0154863813229573</v>
      </c>
      <c r="L105" s="60"/>
      <c r="M105" s="60" t="s">
        <v>5543</v>
      </c>
      <c r="N105" s="97"/>
      <c r="R105" s="97"/>
      <c r="S105" s="97"/>
      <c r="T105" s="97"/>
      <c r="U105" s="97"/>
      <c r="V105" s="97"/>
      <c r="W105" s="97"/>
      <c r="X105" s="97"/>
      <c r="Y105" s="97"/>
    </row>
    <row r="106" spans="1:27" ht="19.5">
      <c r="A106" s="287" t="s">
        <v>5838</v>
      </c>
      <c r="B106" s="287" t="s">
        <v>4362</v>
      </c>
      <c r="C106" s="288">
        <v>21532</v>
      </c>
      <c r="D106" s="287">
        <v>2917</v>
      </c>
      <c r="E106" s="289" t="s">
        <v>4220</v>
      </c>
      <c r="F106" s="291">
        <v>1274.7</v>
      </c>
      <c r="G106" s="322">
        <f t="shared" si="28"/>
        <v>48656.073333711538</v>
      </c>
      <c r="H106" s="323">
        <f t="shared" si="29"/>
        <v>16.891817682591981</v>
      </c>
      <c r="I106" s="301">
        <f t="shared" si="30"/>
        <v>5.9200260078023412E-2</v>
      </c>
      <c r="J106" s="97"/>
      <c r="K106" s="303">
        <f>H106/H105</f>
        <v>1.0080803326272847</v>
      </c>
      <c r="L106" s="23"/>
      <c r="M106" s="23" t="s">
        <v>5544</v>
      </c>
      <c r="N106" s="97"/>
      <c r="P106" t="s">
        <v>25</v>
      </c>
    </row>
    <row r="107" spans="1:27" ht="19.5">
      <c r="A107" s="287" t="s">
        <v>5833</v>
      </c>
      <c r="B107" s="287" t="s">
        <v>4362</v>
      </c>
      <c r="C107" s="288">
        <v>21532</v>
      </c>
      <c r="D107" s="287">
        <v>18278</v>
      </c>
      <c r="E107" s="289" t="s">
        <v>4220</v>
      </c>
      <c r="F107" s="291">
        <v>1270.4000000000001</v>
      </c>
      <c r="G107" s="322">
        <f t="shared" si="28"/>
        <v>305912.2032749952</v>
      </c>
      <c r="H107" s="323">
        <f t="shared" si="29"/>
        <v>16.948992443324936</v>
      </c>
      <c r="I107" s="301">
        <f t="shared" si="30"/>
        <v>5.9000557310050161E-2</v>
      </c>
      <c r="J107" s="97"/>
      <c r="K107" s="303">
        <f>H107/H106</f>
        <v>1.0033847607052897</v>
      </c>
      <c r="L107" s="36"/>
      <c r="M107" s="97"/>
      <c r="N107" s="97"/>
      <c r="P107" t="s">
        <v>25</v>
      </c>
    </row>
    <row r="108" spans="1:27" ht="19.5">
      <c r="A108" s="287"/>
      <c r="B108" s="287"/>
      <c r="C108" s="288"/>
      <c r="D108" s="287"/>
      <c r="E108" s="289"/>
      <c r="F108" s="291"/>
      <c r="G108" s="322" t="e">
        <f t="shared" si="28"/>
        <v>#DIV/0!</v>
      </c>
      <c r="H108" s="323" t="e">
        <f t="shared" si="29"/>
        <v>#DIV/0!</v>
      </c>
      <c r="I108" s="301" t="e">
        <f t="shared" si="30"/>
        <v>#DIV/0!</v>
      </c>
      <c r="J108" s="97" t="s">
        <v>25</v>
      </c>
      <c r="K108" s="303" t="e">
        <f t="shared" ref="K108:K109" si="31">H108/H107</f>
        <v>#DIV/0!</v>
      </c>
      <c r="L108" s="97"/>
      <c r="M108" s="97"/>
      <c r="N108" s="97"/>
      <c r="O108" t="s">
        <v>25</v>
      </c>
      <c r="P108" t="s">
        <v>25</v>
      </c>
      <c r="R108" s="97" t="s">
        <v>744</v>
      </c>
      <c r="S108" s="97"/>
      <c r="T108" s="97"/>
      <c r="U108" s="97"/>
      <c r="V108" s="97"/>
      <c r="W108" s="97" t="s">
        <v>1220</v>
      </c>
      <c r="X108" s="97" t="s">
        <v>926</v>
      </c>
      <c r="Y108" s="67" t="s">
        <v>5435</v>
      </c>
      <c r="Z108" t="s">
        <v>25</v>
      </c>
    </row>
    <row r="109" spans="1:27" ht="19.5">
      <c r="A109" s="287"/>
      <c r="B109" s="287"/>
      <c r="C109" s="288"/>
      <c r="D109" s="287" t="s">
        <v>25</v>
      </c>
      <c r="E109" s="289"/>
      <c r="F109" s="291"/>
      <c r="G109" s="322" t="e">
        <f t="shared" si="28"/>
        <v>#VALUE!</v>
      </c>
      <c r="H109" s="323" t="e">
        <f t="shared" si="29"/>
        <v>#DIV/0!</v>
      </c>
      <c r="I109" s="301" t="e">
        <f t="shared" si="30"/>
        <v>#DIV/0!</v>
      </c>
      <c r="J109" s="97"/>
      <c r="K109" s="303" t="e">
        <f t="shared" si="31"/>
        <v>#DIV/0!</v>
      </c>
      <c r="L109" s="308" t="s">
        <v>5471</v>
      </c>
      <c r="M109" s="295"/>
      <c r="N109" s="97"/>
      <c r="R109" s="97"/>
      <c r="S109" s="97" t="s">
        <v>4362</v>
      </c>
      <c r="T109" s="97">
        <v>4279</v>
      </c>
      <c r="U109" s="115">
        <v>32796123</v>
      </c>
      <c r="V109" s="115">
        <f>U109/T109</f>
        <v>7664.436316896471</v>
      </c>
      <c r="W109" s="115">
        <f>V109*1.01</f>
        <v>7741.0806800654354</v>
      </c>
      <c r="X109" s="97">
        <f>X95</f>
        <v>22500</v>
      </c>
      <c r="Y109" s="97">
        <f>T109*X109</f>
        <v>96277500</v>
      </c>
    </row>
    <row r="110" spans="1:27" ht="18.75">
      <c r="A110" s="289" t="s">
        <v>5477</v>
      </c>
      <c r="B110" s="289" t="s">
        <v>4362</v>
      </c>
      <c r="C110" s="309">
        <f>C114</f>
        <v>22400</v>
      </c>
      <c r="D110" s="289">
        <v>1</v>
      </c>
      <c r="E110" s="289" t="s">
        <v>4220</v>
      </c>
      <c r="F110" s="309">
        <f>C113</f>
        <v>1240</v>
      </c>
      <c r="G110" s="289">
        <f t="shared" ref="G110" si="32">C110*D110*0.99114/(F110*1.0037158)</f>
        <v>17.838181401676685</v>
      </c>
      <c r="H110" s="290">
        <f>C110/F110</f>
        <v>18.06451612903226</v>
      </c>
      <c r="I110" s="290">
        <f>F110/C110</f>
        <v>5.5357142857142855E-2</v>
      </c>
      <c r="J110" s="97"/>
      <c r="K110" s="304">
        <f>H110/H107</f>
        <v>1.0658165191492932</v>
      </c>
      <c r="L110" s="305">
        <f>(1/K110-1.0256)*100</f>
        <v>-8.7352204030226801</v>
      </c>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c r="A111" s="289"/>
      <c r="B111" s="94"/>
      <c r="C111" s="94"/>
      <c r="D111" s="94"/>
      <c r="E111" s="94"/>
      <c r="F111" s="94"/>
      <c r="G111" s="94"/>
      <c r="H111" s="94"/>
      <c r="I111" s="94"/>
      <c r="J111" s="94"/>
      <c r="K111" s="94"/>
      <c r="L111" s="94"/>
      <c r="M111" s="94"/>
      <c r="N111" s="94"/>
      <c r="R111" s="97"/>
      <c r="S111" s="97" t="s">
        <v>4220</v>
      </c>
      <c r="T111" s="97">
        <v>12936</v>
      </c>
      <c r="U111" s="115">
        <v>6322162</v>
      </c>
      <c r="V111" s="115">
        <f>U111/T111</f>
        <v>488.72619047619048</v>
      </c>
      <c r="W111" s="115">
        <f>V111*1.01</f>
        <v>493.61345238095237</v>
      </c>
      <c r="X111" s="97">
        <f>X96</f>
        <v>1200</v>
      </c>
      <c r="Y111" s="97">
        <f>T111*X111</f>
        <v>15523200</v>
      </c>
    </row>
    <row r="112" spans="1:27">
      <c r="A112" s="85"/>
      <c r="B112" s="94"/>
      <c r="C112" s="94"/>
      <c r="D112" s="94" t="s">
        <v>25</v>
      </c>
      <c r="E112" s="94"/>
      <c r="F112" s="94"/>
      <c r="G112" s="94"/>
      <c r="H112" s="94"/>
      <c r="I112" s="94" t="s">
        <v>25</v>
      </c>
      <c r="J112" s="94" t="s">
        <v>25</v>
      </c>
      <c r="K112" s="94"/>
      <c r="L112" s="94"/>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ht="21">
      <c r="B113" t="s">
        <v>4220</v>
      </c>
      <c r="C113" s="307">
        <v>1240</v>
      </c>
      <c r="D113" t="s">
        <v>25</v>
      </c>
      <c r="E113" s="94"/>
      <c r="F113">
        <v>213425</v>
      </c>
      <c r="G113">
        <f>F113/0.99114</f>
        <v>215332.8490425167</v>
      </c>
      <c r="I113" t="s">
        <v>25</v>
      </c>
      <c r="J113">
        <v>305912</v>
      </c>
      <c r="M113" s="94"/>
      <c r="N113" s="94"/>
      <c r="R113" s="97" t="s">
        <v>5417</v>
      </c>
      <c r="S113" s="97" t="s">
        <v>4519</v>
      </c>
      <c r="T113" s="97">
        <v>0</v>
      </c>
      <c r="U113" s="115">
        <v>180438</v>
      </c>
      <c r="V113" s="115"/>
      <c r="W113" s="115"/>
      <c r="X113" s="97">
        <f>X99</f>
        <v>1500</v>
      </c>
      <c r="Y113" s="93">
        <f>U113</f>
        <v>180438</v>
      </c>
    </row>
    <row r="114" spans="1:25" ht="21">
      <c r="B114" t="s">
        <v>4362</v>
      </c>
      <c r="C114" s="306">
        <v>22400</v>
      </c>
      <c r="E114" s="94"/>
      <c r="F114">
        <v>12751</v>
      </c>
      <c r="G114" s="94">
        <f t="shared" ref="G114" si="33">F114/1.0037158</f>
        <v>12703.795237655919</v>
      </c>
      <c r="I114" s="94" t="e">
        <f>I113*J114/J113</f>
        <v>#VALUE!</v>
      </c>
      <c r="J114">
        <v>13189</v>
      </c>
      <c r="M114" s="94"/>
      <c r="N114" s="94"/>
      <c r="R114" s="97"/>
      <c r="S114" s="97"/>
      <c r="T114" s="97"/>
      <c r="U114" s="115"/>
      <c r="V114" s="115"/>
      <c r="W114" s="115"/>
      <c r="X114" s="97"/>
      <c r="Y114" s="97"/>
    </row>
    <row r="115" spans="1:25" ht="27" customHeight="1">
      <c r="A115" s="94"/>
      <c r="B115" t="s">
        <v>4358</v>
      </c>
      <c r="C115" s="60">
        <v>16140</v>
      </c>
      <c r="F115">
        <v>140665</v>
      </c>
      <c r="G115" s="94">
        <f>F115*0.99114/1.0037158</f>
        <v>138902.5739158435</v>
      </c>
      <c r="H115" s="94"/>
      <c r="I115" t="e">
        <f>I113-I114</f>
        <v>#VALUE!</v>
      </c>
      <c r="J115">
        <f>J113-J114</f>
        <v>292723</v>
      </c>
      <c r="K115" t="s">
        <v>25</v>
      </c>
      <c r="L115" t="s">
        <v>25</v>
      </c>
      <c r="M115" s="94"/>
      <c r="N115" s="94"/>
      <c r="R115" s="97"/>
      <c r="S115" s="97"/>
      <c r="T115" s="97"/>
      <c r="U115" s="115">
        <v>141800000</v>
      </c>
      <c r="V115" s="115"/>
      <c r="W115" s="115"/>
      <c r="X115" s="97"/>
      <c r="Y115" s="93" t="e">
        <f>SUM(Y109:Y113)</f>
        <v>#REF!</v>
      </c>
    </row>
    <row r="116" spans="1:25">
      <c r="A116" s="94"/>
      <c r="B116" s="94"/>
      <c r="C116" s="94"/>
      <c r="D116" s="94"/>
      <c r="E116" s="94"/>
      <c r="F116" s="94"/>
      <c r="G116" s="94"/>
      <c r="H116" s="94" t="s">
        <v>25</v>
      </c>
      <c r="J116" t="s">
        <v>25</v>
      </c>
      <c r="M116" s="94"/>
      <c r="N116" s="94"/>
    </row>
    <row r="117" spans="1:25">
      <c r="A117" s="94"/>
      <c r="B117" s="94"/>
      <c r="C117" s="94"/>
    </row>
    <row r="118" spans="1:25">
      <c r="A118" s="97" t="s">
        <v>5581</v>
      </c>
      <c r="B118" s="97"/>
      <c r="C118" s="97"/>
      <c r="D118" s="97"/>
      <c r="E118" s="97"/>
      <c r="F118" s="97"/>
      <c r="G118" s="97"/>
      <c r="H118" s="97"/>
      <c r="I118" s="97"/>
      <c r="J118" s="97"/>
      <c r="K118" s="97"/>
      <c r="Q118" t="s">
        <v>25</v>
      </c>
      <c r="R118" t="s">
        <v>25</v>
      </c>
      <c r="W118" t="s">
        <v>5436</v>
      </c>
      <c r="X118" s="112" t="e">
        <f>Y102+Y115-U102-U115</f>
        <v>#REF!</v>
      </c>
    </row>
    <row r="119" spans="1:25">
      <c r="A119" s="287" t="s">
        <v>5833</v>
      </c>
      <c r="B119" s="287" t="s">
        <v>4362</v>
      </c>
      <c r="C119" s="287">
        <v>21532</v>
      </c>
      <c r="D119" s="287">
        <v>1859</v>
      </c>
      <c r="E119" s="289" t="s">
        <v>4220</v>
      </c>
      <c r="F119" s="289">
        <v>1273.7</v>
      </c>
      <c r="G119" s="289">
        <f>C119*D119*0.99114/(F119*1.0037158)</f>
        <v>31032.792320085835</v>
      </c>
      <c r="H119" s="289">
        <f t="shared" ref="H119" si="34">C119/F119</f>
        <v>16.905079689094762</v>
      </c>
      <c r="I119" s="289">
        <f t="shared" ref="I119" si="35">F119/C119</f>
        <v>5.9153817573843581E-2</v>
      </c>
      <c r="J119" s="97"/>
      <c r="K119" s="97">
        <v>1</v>
      </c>
      <c r="L119" t="s">
        <v>25</v>
      </c>
      <c r="R119" t="s">
        <v>25</v>
      </c>
    </row>
    <row r="120" spans="1:25">
      <c r="A120" s="287" t="s">
        <v>5841</v>
      </c>
      <c r="B120" s="287" t="s">
        <v>4362</v>
      </c>
      <c r="C120" s="287">
        <v>22420.1</v>
      </c>
      <c r="D120" s="287">
        <v>1000</v>
      </c>
      <c r="E120" s="289" t="s">
        <v>4220</v>
      </c>
      <c r="F120" s="289">
        <v>1246</v>
      </c>
      <c r="G120" s="289">
        <f t="shared" ref="G120:G126" si="36">C120*D120*0.99114/(F120*1.0037158)</f>
        <v>17768.212761057777</v>
      </c>
      <c r="H120" s="289">
        <f t="shared" ref="H120:H126" si="37">C120/F120</f>
        <v>17.993659711075441</v>
      </c>
      <c r="I120" s="289">
        <f t="shared" ref="I120:I126" si="38">F120/C120</f>
        <v>5.557513124383924E-2</v>
      </c>
      <c r="J120" s="97"/>
      <c r="K120" s="97">
        <f>H120/H119</f>
        <v>1.0643936640347758</v>
      </c>
      <c r="Q120" t="s">
        <v>25</v>
      </c>
      <c r="R120" s="316" t="s">
        <v>5735</v>
      </c>
    </row>
    <row r="121" spans="1:25">
      <c r="A121" s="287" t="s">
        <v>5845</v>
      </c>
      <c r="B121" s="287" t="s">
        <v>4362</v>
      </c>
      <c r="C121" s="287">
        <v>23233.1</v>
      </c>
      <c r="D121" s="287">
        <v>1000</v>
      </c>
      <c r="E121" s="289" t="s">
        <v>4220</v>
      </c>
      <c r="F121" s="289">
        <v>1236</v>
      </c>
      <c r="G121" s="289">
        <f t="shared" ref="G121:G125" si="39">C121*D121*0.99114/(F121*1.0037158)</f>
        <v>18561.494195015792</v>
      </c>
      <c r="H121" s="289">
        <f t="shared" ref="H121:H125" si="40">C121/F121</f>
        <v>18.797006472491908</v>
      </c>
      <c r="I121" s="289">
        <f t="shared" ref="I121:I125" si="41">F121/C121</f>
        <v>5.3199960401323979E-2</v>
      </c>
      <c r="J121" s="97"/>
      <c r="K121" s="97">
        <f t="shared" ref="K121:K125" si="42">H121/H120</f>
        <v>1.0446461017000335</v>
      </c>
      <c r="P121" t="s">
        <v>25</v>
      </c>
      <c r="R121" t="s">
        <v>25</v>
      </c>
    </row>
    <row r="122" spans="1:25">
      <c r="A122" s="287" t="s">
        <v>5848</v>
      </c>
      <c r="B122" s="287" t="s">
        <v>4362</v>
      </c>
      <c r="C122" s="287">
        <v>23900</v>
      </c>
      <c r="D122" s="287">
        <v>1000</v>
      </c>
      <c r="E122" s="289" t="s">
        <v>4220</v>
      </c>
      <c r="F122" s="289">
        <v>1237.2</v>
      </c>
      <c r="G122" s="289">
        <f t="shared" si="39"/>
        <v>19075.776812419539</v>
      </c>
      <c r="H122" s="289">
        <f t="shared" si="40"/>
        <v>19.317814419657289</v>
      </c>
      <c r="I122" s="289">
        <f t="shared" si="41"/>
        <v>5.1765690376569043E-2</v>
      </c>
      <c r="J122" s="97"/>
      <c r="K122" s="97">
        <f t="shared" si="42"/>
        <v>1.027706962165893</v>
      </c>
      <c r="Q122" t="s">
        <v>25</v>
      </c>
      <c r="R122" t="s">
        <v>25</v>
      </c>
      <c r="S122" t="s">
        <v>25</v>
      </c>
    </row>
    <row r="123" spans="1:25">
      <c r="A123" s="287"/>
      <c r="B123" s="287"/>
      <c r="C123" s="287"/>
      <c r="D123" s="287"/>
      <c r="E123" s="289"/>
      <c r="F123" s="289"/>
      <c r="G123" s="289" t="e">
        <f t="shared" si="39"/>
        <v>#DIV/0!</v>
      </c>
      <c r="H123" s="289" t="e">
        <f t="shared" si="40"/>
        <v>#DIV/0!</v>
      </c>
      <c r="I123" s="289" t="e">
        <f t="shared" si="41"/>
        <v>#DIV/0!</v>
      </c>
      <c r="J123" s="97"/>
      <c r="K123" s="97" t="e">
        <f t="shared" si="42"/>
        <v>#DIV/0!</v>
      </c>
      <c r="L123" s="94"/>
      <c r="R123" t="s">
        <v>25</v>
      </c>
      <c r="S123" t="s">
        <v>25</v>
      </c>
    </row>
    <row r="124" spans="1:25">
      <c r="A124" s="287"/>
      <c r="B124" s="287"/>
      <c r="C124" s="287"/>
      <c r="D124" s="287"/>
      <c r="E124" s="289"/>
      <c r="F124" s="289"/>
      <c r="G124" s="289" t="e">
        <f t="shared" si="39"/>
        <v>#DIV/0!</v>
      </c>
      <c r="H124" s="289" t="e">
        <f t="shared" si="40"/>
        <v>#DIV/0!</v>
      </c>
      <c r="I124" s="289" t="e">
        <f t="shared" si="41"/>
        <v>#DIV/0!</v>
      </c>
      <c r="J124" s="97"/>
      <c r="K124" s="97" t="e">
        <f t="shared" si="42"/>
        <v>#DIV/0!</v>
      </c>
      <c r="L124" s="94"/>
      <c r="O124" t="s">
        <v>25</v>
      </c>
      <c r="S124" t="s">
        <v>25</v>
      </c>
    </row>
    <row r="125" spans="1:25">
      <c r="A125" s="97"/>
      <c r="B125" s="97"/>
      <c r="C125" s="97"/>
      <c r="D125" s="97"/>
      <c r="E125" s="97"/>
      <c r="F125" s="97"/>
      <c r="G125" s="97" t="e">
        <f t="shared" si="39"/>
        <v>#DIV/0!</v>
      </c>
      <c r="H125" s="97" t="e">
        <f t="shared" si="40"/>
        <v>#DIV/0!</v>
      </c>
      <c r="I125" s="97" t="e">
        <f t="shared" si="41"/>
        <v>#DIV/0!</v>
      </c>
      <c r="J125" s="97"/>
      <c r="K125" s="97" t="e">
        <f t="shared" si="42"/>
        <v>#DIV/0!</v>
      </c>
      <c r="S125" t="s">
        <v>25</v>
      </c>
    </row>
    <row r="126" spans="1:25">
      <c r="A126" s="97"/>
      <c r="B126" s="97" t="s">
        <v>25</v>
      </c>
      <c r="C126" s="93">
        <f>C114</f>
        <v>22400</v>
      </c>
      <c r="D126" s="97"/>
      <c r="E126" s="97"/>
      <c r="F126" s="93">
        <f>C113</f>
        <v>1240</v>
      </c>
      <c r="G126" s="97">
        <f t="shared" si="36"/>
        <v>0</v>
      </c>
      <c r="H126" s="97">
        <f t="shared" si="37"/>
        <v>18.06451612903226</v>
      </c>
      <c r="I126" s="97">
        <f t="shared" si="38"/>
        <v>5.5357142857142855E-2</v>
      </c>
      <c r="J126" s="97"/>
      <c r="K126" s="97">
        <f>H126/H122</f>
        <v>0.93512214873802146</v>
      </c>
      <c r="L126" s="305">
        <f>(1/K126-1.0256)*100</f>
        <v>4.3779012516742544</v>
      </c>
      <c r="R126" t="s">
        <v>25</v>
      </c>
      <c r="S126" t="s">
        <v>25</v>
      </c>
    </row>
    <row r="127" spans="1:25">
      <c r="A127" s="94"/>
      <c r="B127" s="94"/>
      <c r="C127" s="94"/>
      <c r="D127" s="94"/>
      <c r="E127" s="94"/>
      <c r="F127" s="94"/>
      <c r="G127" s="94"/>
      <c r="H127" s="94"/>
      <c r="K127" s="94"/>
      <c r="R127" t="s">
        <v>25</v>
      </c>
    </row>
    <row r="128" spans="1:25">
      <c r="A128" s="94"/>
      <c r="B128" s="94"/>
      <c r="C128" s="94"/>
      <c r="D128" s="94"/>
      <c r="E128" s="94"/>
      <c r="F128" s="94"/>
      <c r="G128" s="94"/>
      <c r="H128" s="94"/>
      <c r="K128" s="94"/>
    </row>
    <row r="129" spans="1:20">
      <c r="A129" s="94"/>
      <c r="B129" s="94"/>
      <c r="C129" s="94"/>
      <c r="D129" s="94"/>
      <c r="E129" s="94"/>
      <c r="F129" s="94"/>
      <c r="G129" s="94"/>
      <c r="H129" s="94" t="s">
        <v>5572</v>
      </c>
      <c r="K129" s="94"/>
      <c r="S129" t="s">
        <v>25</v>
      </c>
      <c r="T129" t="s">
        <v>25</v>
      </c>
    </row>
    <row r="130" spans="1:20">
      <c r="A130" s="94"/>
      <c r="B130" s="94"/>
      <c r="C130" s="94"/>
      <c r="D130" s="94"/>
      <c r="E130" s="94"/>
      <c r="F130" s="94"/>
      <c r="G130" s="94"/>
      <c r="H130" s="94" t="s">
        <v>5573</v>
      </c>
      <c r="L130" t="s">
        <v>25</v>
      </c>
      <c r="R130" t="s">
        <v>25</v>
      </c>
      <c r="S130" t="s">
        <v>25</v>
      </c>
    </row>
    <row r="131" spans="1:20">
      <c r="A131" s="94"/>
      <c r="B131" s="94"/>
      <c r="C131" s="94"/>
      <c r="D131" s="94"/>
      <c r="E131" s="94"/>
      <c r="F131" s="94"/>
      <c r="G131" s="94"/>
      <c r="H131" s="94" t="s">
        <v>5574</v>
      </c>
      <c r="K131" t="s">
        <v>25</v>
      </c>
      <c r="P131" t="s">
        <v>25</v>
      </c>
      <c r="Q131" t="s">
        <v>25</v>
      </c>
    </row>
    <row r="132" spans="1:20">
      <c r="A132" s="94"/>
      <c r="B132" s="94"/>
      <c r="C132" s="94"/>
      <c r="D132" s="94"/>
      <c r="E132" s="94"/>
      <c r="F132" s="94"/>
      <c r="G132" s="94"/>
      <c r="H132" s="94" t="s">
        <v>5575</v>
      </c>
      <c r="J132" t="s">
        <v>25</v>
      </c>
      <c r="K132" t="s">
        <v>25</v>
      </c>
      <c r="Q132" t="s">
        <v>25</v>
      </c>
      <c r="R132" t="s">
        <v>25</v>
      </c>
    </row>
    <row r="133" spans="1:20">
      <c r="A133" s="94"/>
      <c r="B133" s="94"/>
      <c r="C133" s="94"/>
      <c r="D133" s="94"/>
      <c r="E133" s="94"/>
      <c r="F133" s="94"/>
      <c r="G133" s="94"/>
      <c r="H133" s="94" t="s">
        <v>5576</v>
      </c>
      <c r="J133" t="s">
        <v>25</v>
      </c>
    </row>
    <row r="134" spans="1:20">
      <c r="A134" s="94"/>
      <c r="B134" s="94"/>
      <c r="C134" s="94"/>
      <c r="D134" s="94"/>
      <c r="E134" s="94"/>
      <c r="F134" s="94"/>
      <c r="G134" s="94"/>
      <c r="H134" s="94" t="s">
        <v>5577</v>
      </c>
      <c r="P134" t="s">
        <v>25</v>
      </c>
    </row>
    <row r="135" spans="1:20">
      <c r="A135" s="94"/>
      <c r="B135" s="94"/>
      <c r="C135" s="94"/>
      <c r="D135" s="94"/>
      <c r="E135" s="94"/>
      <c r="F135" s="94"/>
      <c r="G135" s="94"/>
      <c r="H135" s="94"/>
      <c r="K135" t="s">
        <v>25</v>
      </c>
    </row>
    <row r="136" spans="1:20">
      <c r="A136" s="94"/>
      <c r="B136" s="94"/>
      <c r="C136" s="94"/>
      <c r="D136" s="94"/>
      <c r="E136" s="94"/>
      <c r="F136" s="94"/>
      <c r="G136" s="94"/>
      <c r="H136" s="94" t="s">
        <v>25</v>
      </c>
      <c r="P136" t="s">
        <v>25</v>
      </c>
      <c r="Q136" t="s">
        <v>25</v>
      </c>
      <c r="R136" t="s">
        <v>25</v>
      </c>
    </row>
    <row r="137" spans="1:20">
      <c r="A137" s="94"/>
      <c r="B137" s="94"/>
      <c r="C137" s="94"/>
      <c r="D137" s="94"/>
      <c r="E137" s="94"/>
      <c r="F137" s="94"/>
      <c r="G137" s="94"/>
      <c r="H137" s="94"/>
    </row>
    <row r="138" spans="1:20">
      <c r="A138" s="94"/>
      <c r="B138" s="94"/>
      <c r="C138" s="94"/>
      <c r="D138" s="94"/>
      <c r="E138" s="94"/>
      <c r="F138" s="94"/>
      <c r="G138" s="94"/>
      <c r="H138" s="94"/>
      <c r="P138" t="s">
        <v>25</v>
      </c>
      <c r="Q138" t="s">
        <v>25</v>
      </c>
    </row>
    <row r="139" spans="1:20">
      <c r="A139" s="94"/>
      <c r="B139" s="94"/>
      <c r="C139" s="94"/>
      <c r="D139" s="94"/>
      <c r="E139" s="94"/>
      <c r="F139" s="94"/>
    </row>
    <row r="140" spans="1:20">
      <c r="A140" s="94"/>
      <c r="B140" s="94"/>
      <c r="C140" s="94"/>
      <c r="D140" s="94"/>
      <c r="E140" s="94"/>
      <c r="F140" s="94"/>
      <c r="H140" t="s">
        <v>25</v>
      </c>
    </row>
    <row r="141" spans="1:20">
      <c r="A141" s="94"/>
      <c r="B141" s="94"/>
      <c r="C141" s="94"/>
      <c r="D141" s="94"/>
      <c r="E141" s="94"/>
      <c r="F141" s="94"/>
      <c r="I141" t="s">
        <v>25</v>
      </c>
    </row>
    <row r="142" spans="1:20">
      <c r="A142" s="94"/>
      <c r="B142" s="94"/>
      <c r="C142" s="94"/>
      <c r="D142" s="94"/>
      <c r="E142" s="94"/>
      <c r="F142" s="94"/>
      <c r="N142" t="s">
        <v>25</v>
      </c>
    </row>
    <row r="143" spans="1:20">
      <c r="A143" s="94"/>
      <c r="B143" s="94"/>
      <c r="C143" s="94"/>
      <c r="D143" s="94"/>
      <c r="E143" s="94"/>
      <c r="F143" s="94"/>
      <c r="H143" t="s">
        <v>25</v>
      </c>
    </row>
    <row r="144" spans="1:20">
      <c r="A144" s="94"/>
      <c r="B144" s="94"/>
      <c r="C144" s="94"/>
      <c r="D144" s="94"/>
      <c r="E144" s="94"/>
      <c r="F144" s="94"/>
      <c r="H144" t="s">
        <v>25</v>
      </c>
    </row>
    <row r="145" spans="1:17">
      <c r="A145" s="94"/>
      <c r="B145" s="94"/>
      <c r="C145" s="94"/>
      <c r="D145" s="94"/>
      <c r="E145" s="94"/>
      <c r="F145" s="94"/>
      <c r="N145" t="s">
        <v>25</v>
      </c>
    </row>
    <row r="146" spans="1:17">
      <c r="A146" s="94"/>
      <c r="B146" s="94"/>
      <c r="C146" s="94"/>
      <c r="D146" s="94"/>
      <c r="E146" s="94"/>
      <c r="F146" s="94"/>
      <c r="M146" t="s">
        <v>25</v>
      </c>
    </row>
    <row r="147" spans="1:17">
      <c r="A147" s="94"/>
      <c r="B147" s="94"/>
      <c r="C147" s="94"/>
      <c r="D147" s="94"/>
      <c r="E147" s="94"/>
      <c r="F147" s="94"/>
    </row>
    <row r="148" spans="1:17">
      <c r="A148" s="94"/>
      <c r="B148" s="94"/>
      <c r="C148" s="94"/>
      <c r="D148" s="94"/>
      <c r="E148" s="94"/>
      <c r="F148" s="94"/>
      <c r="M148" t="s">
        <v>25</v>
      </c>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c r="H167" t="s">
        <v>25</v>
      </c>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c r="H170" t="s">
        <v>25</v>
      </c>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c r="C271" t="s">
        <v>25</v>
      </c>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5663</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5664</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5716</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5720</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5722</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5724</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5725</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5727</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5728</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5732</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5750</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5751</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5755</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5760</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5761</v>
      </c>
      <c r="L453" s="82">
        <v>4500000000</v>
      </c>
      <c r="M453" s="82">
        <v>2500000000</v>
      </c>
      <c r="N453" s="111">
        <f t="shared" si="52"/>
        <v>7000000000</v>
      </c>
      <c r="O453" s="111">
        <f t="shared" si="55"/>
        <v>-100000000</v>
      </c>
      <c r="P453" s="111">
        <f t="shared" si="56"/>
        <v>-200000000</v>
      </c>
      <c r="Q453" s="225">
        <v>0</v>
      </c>
    </row>
    <row r="454" spans="9:21">
      <c r="I454" s="187" t="s">
        <v>5771</v>
      </c>
      <c r="J454" s="186">
        <f>L454-L453-260000000</f>
        <v>-241879353</v>
      </c>
      <c r="K454" s="187" t="s">
        <v>5766</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5783</v>
      </c>
      <c r="L464" s="82">
        <v>5684600946</v>
      </c>
      <c r="M464" s="82">
        <v>3223570500</v>
      </c>
      <c r="N464" s="111">
        <f t="shared" si="57"/>
        <v>8908171446</v>
      </c>
      <c r="O464" s="111">
        <f t="shared" si="58"/>
        <v>146480670</v>
      </c>
      <c r="P464" s="111">
        <f t="shared" si="59"/>
        <v>445129043</v>
      </c>
      <c r="Q464" s="225">
        <v>0</v>
      </c>
    </row>
    <row r="465" spans="9:19">
      <c r="I465" s="187" t="s">
        <v>5787</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5791</v>
      </c>
      <c r="L467" s="82">
        <v>6143888625</v>
      </c>
      <c r="M467" s="82">
        <v>3526728170</v>
      </c>
      <c r="N467" s="111">
        <f t="shared" si="57"/>
        <v>9670616795</v>
      </c>
      <c r="O467" s="111">
        <f t="shared" si="58"/>
        <v>62523077</v>
      </c>
      <c r="P467" s="111">
        <f t="shared" si="59"/>
        <v>145542848</v>
      </c>
      <c r="Q467" s="225">
        <v>0</v>
      </c>
    </row>
    <row r="468" spans="9:19">
      <c r="I468" s="210" t="s">
        <v>5794</v>
      </c>
      <c r="J468" s="111">
        <f>L468-L467-20000</f>
        <v>-31443260</v>
      </c>
      <c r="K468" s="210" t="s">
        <v>5793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5800</v>
      </c>
      <c r="L471" s="82">
        <v>6013616539</v>
      </c>
      <c r="M471" s="82">
        <v>3413915060</v>
      </c>
      <c r="N471" s="111">
        <f t="shared" si="57"/>
        <v>9427531599</v>
      </c>
      <c r="O471" s="111">
        <f t="shared" si="58"/>
        <v>-132100286</v>
      </c>
      <c r="P471" s="111">
        <f t="shared" si="59"/>
        <v>-358771555</v>
      </c>
      <c r="Q471" s="225">
        <v>0</v>
      </c>
      <c r="R471" t="s">
        <v>25</v>
      </c>
    </row>
    <row r="472" spans="9:19">
      <c r="I472" s="210" t="s">
        <v>5804</v>
      </c>
      <c r="J472" s="111">
        <f>L472-L471-70000</f>
        <v>-63686539</v>
      </c>
      <c r="K472" s="210" t="s">
        <v>5802</v>
      </c>
      <c r="L472" s="82">
        <v>5950000000</v>
      </c>
      <c r="M472" s="82">
        <v>3380000000</v>
      </c>
      <c r="N472" s="111">
        <f t="shared" si="57"/>
        <v>9330000000</v>
      </c>
      <c r="O472" s="111">
        <f>M472-M471-70000</f>
        <v>-33985060</v>
      </c>
      <c r="P472" s="111">
        <f>N472-N471-140000</f>
        <v>-97671599</v>
      </c>
      <c r="Q472" s="225">
        <v>140000</v>
      </c>
    </row>
    <row r="473" spans="9:19">
      <c r="I473" s="210" t="s">
        <v>5814</v>
      </c>
      <c r="J473" s="111">
        <f>L473-L472-330000</f>
        <v>-62693116</v>
      </c>
      <c r="K473" s="210" t="s">
        <v>5810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5817</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5829</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5637</v>
      </c>
      <c r="X29" s="41">
        <v>9332154549</v>
      </c>
      <c r="Y29" s="41">
        <v>120</v>
      </c>
      <c r="Z29" s="41" t="s">
        <v>5609</v>
      </c>
      <c r="AA29" s="94" t="s">
        <v>5635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2020-12-27T11:21:55Z</dcterms:modified>
</cp:coreProperties>
</file>