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V149" i="18" l="1"/>
  <c r="W149" i="18" s="1"/>
  <c r="V148" i="18"/>
  <c r="X148" i="18" s="1"/>
  <c r="S149" i="18"/>
  <c r="S148" i="18"/>
  <c r="O60" i="18"/>
  <c r="O58" i="18"/>
  <c r="O63" i="18"/>
  <c r="G37" i="63"/>
  <c r="H37" i="63"/>
  <c r="I37" i="63"/>
  <c r="X149" i="18" l="1"/>
  <c r="W148" i="18"/>
  <c r="J37" i="63"/>
  <c r="K37" i="63" s="1"/>
  <c r="N29" i="63"/>
  <c r="M55" i="63"/>
  <c r="M51" i="63"/>
  <c r="M52" i="63"/>
  <c r="I27" i="63" l="1"/>
  <c r="I28" i="63"/>
  <c r="I29" i="63"/>
  <c r="J29" i="63" s="1"/>
  <c r="K29" i="63" s="1"/>
  <c r="I30" i="63"/>
  <c r="J30" i="63" s="1"/>
  <c r="K30" i="63" s="1"/>
  <c r="N30" i="63"/>
  <c r="I31" i="63"/>
  <c r="J31" i="63" s="1"/>
  <c r="K31" i="63" s="1"/>
  <c r="N31" i="63"/>
  <c r="G28" i="63"/>
  <c r="H28" i="63"/>
  <c r="O28" i="63"/>
  <c r="O27" i="63"/>
  <c r="J28" i="63" l="1"/>
  <c r="K28" i="63" s="1"/>
  <c r="H304" i="18"/>
  <c r="I26" i="63"/>
  <c r="G27" i="63"/>
  <c r="H27" i="63"/>
  <c r="N28" i="63" s="1"/>
  <c r="J27" i="63" l="1"/>
  <c r="K27" i="63" s="1"/>
  <c r="H64" i="63"/>
  <c r="R17" i="63" l="1"/>
  <c r="R18" i="63"/>
  <c r="R163" i="60"/>
  <c r="R162" i="60" s="1"/>
  <c r="S162" i="60" l="1"/>
  <c r="R161" i="60"/>
  <c r="S163" i="60"/>
  <c r="N2" i="60"/>
  <c r="R160" i="60" l="1"/>
  <c r="S161" i="60"/>
  <c r="I8" i="63"/>
  <c r="S160" i="60" l="1"/>
  <c r="R159" i="60"/>
  <c r="W513" i="18"/>
  <c r="W508" i="18"/>
  <c r="W509" i="18"/>
  <c r="W510" i="18"/>
  <c r="W511" i="18"/>
  <c r="W512" i="18"/>
  <c r="W514" i="18"/>
  <c r="W515" i="18"/>
  <c r="W516" i="18"/>
  <c r="W517" i="18"/>
  <c r="W518" i="18"/>
  <c r="W519" i="18"/>
  <c r="P23" i="63"/>
  <c r="O23" i="63"/>
  <c r="O24" i="63"/>
  <c r="O25" i="63"/>
  <c r="O26" i="63"/>
  <c r="R158" i="60" l="1"/>
  <c r="S159" i="60"/>
  <c r="W507" i="18"/>
  <c r="S158" i="60" l="1"/>
  <c r="R157" i="60"/>
  <c r="H18" i="60"/>
  <c r="H19" i="60"/>
  <c r="H17" i="60"/>
  <c r="R156" i="60" l="1"/>
  <c r="S156" i="60" s="1"/>
  <c r="S157" i="60"/>
  <c r="H16" i="60"/>
  <c r="M54" i="63"/>
  <c r="M53" i="63"/>
  <c r="I8" i="60"/>
  <c r="F32" i="60"/>
  <c r="G8" i="60" l="1"/>
  <c r="G6" i="60"/>
  <c r="H3" i="60" l="1"/>
  <c r="H4" i="60"/>
  <c r="H2" i="60"/>
  <c r="I34" i="63" l="1"/>
  <c r="H63" i="63"/>
  <c r="W506" i="18" l="1"/>
  <c r="H62" i="63"/>
  <c r="N67" i="63"/>
  <c r="I67" i="63"/>
  <c r="H67" i="63"/>
  <c r="G67" i="63"/>
  <c r="J67" i="63" l="1"/>
  <c r="K67" i="63" s="1"/>
  <c r="K114" i="18"/>
  <c r="M50" i="63" l="1"/>
  <c r="N53" i="18"/>
  <c r="I36" i="63"/>
  <c r="G36" i="63"/>
  <c r="H36" i="63"/>
  <c r="N37" i="63" s="1"/>
  <c r="J36" i="63" l="1"/>
  <c r="K36" i="63" s="1"/>
  <c r="W505" i="18"/>
  <c r="W504" i="18"/>
  <c r="W50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3" i="63"/>
  <c r="M44" i="63"/>
  <c r="M45" i="63"/>
  <c r="M46" i="63"/>
  <c r="M47" i="63"/>
  <c r="M48" i="63"/>
  <c r="M49" i="63"/>
  <c r="M42" i="63"/>
  <c r="H61" i="63"/>
  <c r="I29" i="68" l="1"/>
  <c r="I41" i="68" s="1"/>
  <c r="W502" i="18"/>
  <c r="H60" i="63"/>
  <c r="I21" i="63"/>
  <c r="I22" i="63"/>
  <c r="G22" i="63"/>
  <c r="H22" i="63"/>
  <c r="J22" i="63" l="1"/>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9" i="63"/>
  <c r="W501" i="18"/>
  <c r="I35" i="63" l="1"/>
  <c r="H35" i="63"/>
  <c r="J35" i="63" l="1"/>
  <c r="W500" i="18"/>
  <c r="U520" i="18"/>
  <c r="N45" i="18"/>
  <c r="N21" i="18"/>
  <c r="N29" i="18"/>
  <c r="G26" i="63" l="1"/>
  <c r="H26" i="63"/>
  <c r="N27" i="63" s="1"/>
  <c r="I25" i="63"/>
  <c r="G25" i="63"/>
  <c r="H25" i="63"/>
  <c r="N26" i="63" l="1"/>
  <c r="J26" i="63"/>
  <c r="K26" i="63" s="1"/>
  <c r="J25" i="63"/>
  <c r="K25" i="63" s="1"/>
  <c r="W499" i="18"/>
  <c r="I24" i="63"/>
  <c r="G35" i="63"/>
  <c r="H34" i="63"/>
  <c r="J34" i="63" s="1"/>
  <c r="G24" i="63"/>
  <c r="H24" i="63"/>
  <c r="N25" i="63" s="1"/>
  <c r="J24" i="63" l="1"/>
  <c r="K24" i="63" s="1"/>
  <c r="K35" i="63"/>
  <c r="W498" i="18" l="1"/>
  <c r="N23" i="63"/>
  <c r="I23" i="63"/>
  <c r="H23" i="63"/>
  <c r="N24" i="63" s="1"/>
  <c r="G23" i="63"/>
  <c r="J23" i="63" l="1"/>
  <c r="K23" i="63" s="1"/>
  <c r="H49" i="63" l="1"/>
  <c r="G49" i="63"/>
  <c r="I48" i="63"/>
  <c r="G48" i="63"/>
  <c r="H48" i="63"/>
  <c r="J49" i="63" l="1"/>
  <c r="K49" i="63" s="1"/>
  <c r="J48" i="63"/>
  <c r="K48" i="63" s="1"/>
  <c r="Q12" i="63" l="1"/>
  <c r="G21" i="63" l="1"/>
  <c r="H21" i="63"/>
  <c r="N22" i="63" l="1"/>
  <c r="J21" i="63"/>
  <c r="K21" i="63" s="1"/>
  <c r="I20" i="63"/>
  <c r="G20" i="63"/>
  <c r="H20" i="63"/>
  <c r="N21" i="63" s="1"/>
  <c r="J20" i="63" l="1"/>
  <c r="K20" i="63" s="1"/>
  <c r="W497" i="18"/>
  <c r="W496"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95" i="18" l="1"/>
  <c r="W494" i="18" l="1"/>
  <c r="C158" i="60" l="1"/>
  <c r="C159" i="60" s="1"/>
  <c r="C157" i="60"/>
  <c r="C156" i="60"/>
  <c r="N18" i="60" l="1"/>
  <c r="N17" i="60"/>
  <c r="N16" i="60"/>
  <c r="F38" i="60"/>
  <c r="J19" i="60" l="1"/>
  <c r="J18" i="60"/>
  <c r="J17" i="60"/>
  <c r="J16" i="60"/>
  <c r="D19" i="60"/>
  <c r="D38" i="60"/>
  <c r="F19" i="60"/>
  <c r="F33" i="60"/>
  <c r="F34" i="60"/>
  <c r="F35" i="60"/>
  <c r="F36" i="60"/>
  <c r="F37" i="60"/>
  <c r="D33" i="60"/>
  <c r="D34" i="60"/>
  <c r="D35" i="60"/>
  <c r="D36" i="60"/>
  <c r="D37" i="60"/>
  <c r="D32" i="60"/>
  <c r="F40" i="60" l="1"/>
  <c r="M19" i="60" s="1"/>
  <c r="N19" i="60" s="1"/>
  <c r="D40" i="60"/>
  <c r="R7" i="60" l="1"/>
  <c r="R9" i="60"/>
  <c r="R10" i="60"/>
  <c r="R11" i="60"/>
  <c r="R12" i="60"/>
  <c r="R13" i="60"/>
  <c r="R14" i="60"/>
  <c r="R164" i="60" l="1"/>
  <c r="D17" i="60"/>
  <c r="D18" i="60"/>
  <c r="D16" i="60"/>
  <c r="F17" i="60"/>
  <c r="F18" i="60"/>
  <c r="F16" i="60"/>
  <c r="W493" i="18" l="1"/>
  <c r="W492" i="18"/>
  <c r="AE33" i="60" l="1"/>
  <c r="Z47" i="60"/>
  <c r="Z46" i="60" s="1"/>
  <c r="Z45" i="60" s="1"/>
  <c r="Z44" i="60" s="1"/>
  <c r="Z43" i="60" s="1"/>
  <c r="Z42" i="60" s="1"/>
  <c r="Z41" i="60" s="1"/>
  <c r="Z40" i="60" s="1"/>
  <c r="Z39" i="60" s="1"/>
  <c r="Z38" i="60" s="1"/>
  <c r="Z37" i="60" s="1"/>
  <c r="Z36" i="60" s="1"/>
  <c r="Z35" i="60" s="1"/>
  <c r="Z34" i="60" s="1"/>
  <c r="Z33" i="60" s="1"/>
  <c r="AA33" i="60" s="1"/>
  <c r="R155" i="60" l="1"/>
  <c r="AA41" i="60"/>
  <c r="AA40" i="60"/>
  <c r="AA42" i="60"/>
  <c r="AA47" i="60"/>
  <c r="AA39" i="60"/>
  <c r="AA46" i="60"/>
  <c r="AA37" i="60"/>
  <c r="AA45" i="60"/>
  <c r="AA44" i="60"/>
  <c r="AA43" i="60"/>
  <c r="AA38" i="60"/>
  <c r="AA36" i="60"/>
  <c r="AA35" i="60"/>
  <c r="AA34" i="60"/>
  <c r="R154" i="60" l="1"/>
  <c r="S155" i="60"/>
  <c r="AA50" i="60"/>
  <c r="S154" i="60" l="1"/>
  <c r="R153" i="60"/>
  <c r="W491"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90" i="18"/>
  <c r="R150" i="60" l="1"/>
  <c r="S151" i="60"/>
  <c r="W489" i="18"/>
  <c r="W488" i="18"/>
  <c r="W487" i="18"/>
  <c r="S150" i="60" l="1"/>
  <c r="R149" i="60"/>
  <c r="W486" i="18"/>
  <c r="R148" i="60" l="1"/>
  <c r="S149" i="60"/>
  <c r="I44" i="63"/>
  <c r="I45" i="63"/>
  <c r="I46" i="63"/>
  <c r="I47" i="63"/>
  <c r="I43" i="63"/>
  <c r="I33" i="63"/>
  <c r="I3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4" i="63"/>
  <c r="I2" i="63"/>
  <c r="I3" i="63"/>
  <c r="I1" i="63"/>
  <c r="S148" i="60" l="1"/>
  <c r="R147" i="60"/>
  <c r="K34" i="63"/>
  <c r="G17" i="67"/>
  <c r="H17" i="67" s="1"/>
  <c r="J32" i="63"/>
  <c r="K32" i="63" s="1"/>
  <c r="R146" i="60" l="1"/>
  <c r="S147" i="60"/>
  <c r="W485" i="18"/>
  <c r="G34" i="63"/>
  <c r="R145" i="60" l="1"/>
  <c r="S146" i="60"/>
  <c r="W484" i="18"/>
  <c r="W483" i="18"/>
  <c r="N31" i="18"/>
  <c r="Q7" i="60"/>
  <c r="Q9" i="60"/>
  <c r="Q10" i="60"/>
  <c r="Q11" i="60"/>
  <c r="Q12" i="60"/>
  <c r="Q13" i="60"/>
  <c r="Q14" i="60"/>
  <c r="S145" i="60" l="1"/>
  <c r="R144" i="60"/>
  <c r="E155" i="60"/>
  <c r="E157" i="60"/>
  <c r="E158" i="60"/>
  <c r="E159" i="60"/>
  <c r="E156" i="60"/>
  <c r="R143" i="60" l="1"/>
  <c r="S144"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45" i="18"/>
  <c r="R138" i="60" l="1"/>
  <c r="S139" i="60"/>
  <c r="W481" i="18"/>
  <c r="R137" i="60" l="1"/>
  <c r="S138" i="60"/>
  <c r="W480" i="18"/>
  <c r="P24" i="18"/>
  <c r="N24" i="18" s="1"/>
  <c r="M111" i="18" s="1"/>
  <c r="N50" i="18"/>
  <c r="R136" i="60" l="1"/>
  <c r="S137" i="60"/>
  <c r="F138" i="60"/>
  <c r="D138" i="60"/>
  <c r="D144" i="60" s="1"/>
  <c r="R135" i="60" l="1"/>
  <c r="S136" i="60"/>
  <c r="I139" i="60"/>
  <c r="R134" i="60" l="1"/>
  <c r="S135" i="60"/>
  <c r="F139" i="60"/>
  <c r="I140" i="60" s="1"/>
  <c r="F140" i="60" s="1"/>
  <c r="I141" i="60" s="1"/>
  <c r="W478" i="18"/>
  <c r="R133" i="60" l="1"/>
  <c r="S134" i="60"/>
  <c r="F141" i="60"/>
  <c r="F144" i="60" s="1"/>
  <c r="S133" i="60" l="1"/>
  <c r="R132" i="60"/>
  <c r="V169" i="18"/>
  <c r="AJ479" i="18"/>
  <c r="R131" i="60" l="1"/>
  <c r="S132" i="60"/>
  <c r="W477" i="18"/>
  <c r="W476" i="18"/>
  <c r="W475" i="18"/>
  <c r="V550" i="18"/>
  <c r="V551" i="18"/>
  <c r="W479" i="18"/>
  <c r="W474" i="18"/>
  <c r="W473" i="18"/>
  <c r="P26" i="18"/>
  <c r="N26" i="18" s="1"/>
  <c r="N51" i="18"/>
  <c r="W393" i="18"/>
  <c r="R130" i="60" l="1"/>
  <c r="S131" i="60"/>
  <c r="S117" i="18"/>
  <c r="R129" i="60" l="1"/>
  <c r="S130" i="60"/>
  <c r="D2" i="60"/>
  <c r="P8" i="60"/>
  <c r="I6" i="60"/>
  <c r="P6" i="60" s="1"/>
  <c r="J3" i="60"/>
  <c r="J4" i="60"/>
  <c r="J5" i="60"/>
  <c r="J2" i="60"/>
  <c r="F2" i="60"/>
  <c r="S129" i="60" l="1"/>
  <c r="R128" i="60"/>
  <c r="W472" i="18"/>
  <c r="T3" i="64"/>
  <c r="T4" i="64"/>
  <c r="T5" i="64"/>
  <c r="T6" i="64"/>
  <c r="T7" i="64"/>
  <c r="T2" i="64"/>
  <c r="S128" i="60" l="1"/>
  <c r="R127" i="60"/>
  <c r="W471" i="18"/>
  <c r="W470" i="18"/>
  <c r="AL244" i="18"/>
  <c r="AL243" i="18" s="1"/>
  <c r="AL242" i="18" s="1"/>
  <c r="R126" i="60" l="1"/>
  <c r="S127" i="60"/>
  <c r="W469" i="18"/>
  <c r="R125" i="60" l="1"/>
  <c r="S126" i="60"/>
  <c r="W468" i="18"/>
  <c r="G19" i="63"/>
  <c r="H19" i="63"/>
  <c r="N20" i="63" s="1"/>
  <c r="U2" i="63"/>
  <c r="R124" i="60" l="1"/>
  <c r="S125" i="60"/>
  <c r="J19" i="63"/>
  <c r="K19" i="63" s="1"/>
  <c r="G43" i="63"/>
  <c r="H43" i="63"/>
  <c r="J43" i="63" s="1"/>
  <c r="K43" i="63" s="1"/>
  <c r="V556" i="18"/>
  <c r="V555" i="18"/>
  <c r="V552" i="18"/>
  <c r="V554" i="18"/>
  <c r="V561" i="18"/>
  <c r="V553" i="18"/>
  <c r="R123" i="60" l="1"/>
  <c r="S124" i="60"/>
  <c r="X545" i="18"/>
  <c r="R313" i="18"/>
  <c r="S123" i="60" l="1"/>
  <c r="R122" i="60"/>
  <c r="W465" i="18"/>
  <c r="W466" i="18"/>
  <c r="W467" i="18"/>
  <c r="R121" i="60" l="1"/>
  <c r="S122" i="60"/>
  <c r="P23" i="18"/>
  <c r="R120" i="60" l="1"/>
  <c r="S121" i="60"/>
  <c r="W464" i="18"/>
  <c r="R119" i="60" l="1"/>
  <c r="S120" i="60"/>
  <c r="G18" i="63"/>
  <c r="H18" i="63"/>
  <c r="R118" i="60" l="1"/>
  <c r="S119" i="60"/>
  <c r="J18" i="63"/>
  <c r="K18" i="63" s="1"/>
  <c r="N19" i="63"/>
  <c r="W463" i="18"/>
  <c r="R117" i="60" l="1"/>
  <c r="S118" i="60"/>
  <c r="W462"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3" i="63"/>
  <c r="N33" i="63" s="1"/>
  <c r="G33" i="63"/>
  <c r="G32" i="63"/>
  <c r="W461" i="18"/>
  <c r="S111" i="60" l="1"/>
  <c r="R110" i="60"/>
  <c r="J33" i="63"/>
  <c r="K33" i="63" s="1"/>
  <c r="N15" i="63"/>
  <c r="G12" i="63"/>
  <c r="H12" i="63"/>
  <c r="G13" i="63"/>
  <c r="H13" i="63"/>
  <c r="W460" i="18"/>
  <c r="G10" i="63"/>
  <c r="H10" i="63"/>
  <c r="G11" i="63"/>
  <c r="H11" i="63"/>
  <c r="S110" i="60" l="1"/>
  <c r="R109" i="60"/>
  <c r="N12" i="63"/>
  <c r="J12" i="63"/>
  <c r="K12" i="63" s="1"/>
  <c r="N13" i="63"/>
  <c r="J13" i="63"/>
  <c r="K13" i="63" s="1"/>
  <c r="N14" i="63"/>
  <c r="N11" i="63"/>
  <c r="J11" i="63"/>
  <c r="K11" i="63" s="1"/>
  <c r="J10" i="63"/>
  <c r="K10" i="63" s="1"/>
  <c r="W459" i="18"/>
  <c r="R108" i="60" l="1"/>
  <c r="S109" i="60"/>
  <c r="V170" i="18"/>
  <c r="T166" i="18" s="1"/>
  <c r="W458" i="18"/>
  <c r="G9" i="63"/>
  <c r="R107" i="60" l="1"/>
  <c r="S108" i="60"/>
  <c r="T164" i="18"/>
  <c r="P33" i="18"/>
  <c r="G4" i="67" s="1"/>
  <c r="W457" i="18"/>
  <c r="R106" i="60" l="1"/>
  <c r="S107" i="60"/>
  <c r="H4" i="67"/>
  <c r="H10" i="67" s="1"/>
  <c r="G19" i="67"/>
  <c r="H19" i="67" s="1"/>
  <c r="H23" i="67" s="1"/>
  <c r="W456" i="18"/>
  <c r="G8" i="63"/>
  <c r="H8" i="63"/>
  <c r="J8" i="63" l="1"/>
  <c r="K8" i="63" s="1"/>
  <c r="R105" i="60"/>
  <c r="S106" i="60"/>
  <c r="E26" i="67"/>
  <c r="H1" i="63"/>
  <c r="R104" i="60" l="1"/>
  <c r="S105" i="60"/>
  <c r="J1" i="63"/>
  <c r="K1" i="63" s="1"/>
  <c r="P165" i="60"/>
  <c r="R103" i="60" l="1"/>
  <c r="S104" i="60"/>
  <c r="W453" i="18"/>
  <c r="R102" i="60" l="1"/>
  <c r="S103" i="60"/>
  <c r="W452" i="18"/>
  <c r="R101" i="60" l="1"/>
  <c r="S102" i="60"/>
  <c r="H9" i="63"/>
  <c r="J9" i="63" s="1"/>
  <c r="K9" i="63" s="1"/>
  <c r="S101" i="60" l="1"/>
  <c r="R100" i="60"/>
  <c r="N10" i="63"/>
  <c r="F49" i="60"/>
  <c r="G49" i="60" s="1"/>
  <c r="S100" i="60" l="1"/>
  <c r="R99" i="60"/>
  <c r="G45" i="63"/>
  <c r="H45" i="63"/>
  <c r="J45" i="63" s="1"/>
  <c r="K45" i="63" s="1"/>
  <c r="G46" i="63"/>
  <c r="H46" i="63"/>
  <c r="J46" i="63" s="1"/>
  <c r="G47" i="63"/>
  <c r="H47" i="63"/>
  <c r="G44" i="63"/>
  <c r="H44" i="63"/>
  <c r="J44" i="63" s="1"/>
  <c r="K44" i="63" s="1"/>
  <c r="W451" i="18"/>
  <c r="R98" i="60" l="1"/>
  <c r="S99" i="60"/>
  <c r="J47" i="63"/>
  <c r="K47" i="63" s="1"/>
  <c r="K46" i="63"/>
  <c r="R97" i="60" l="1"/>
  <c r="S98" i="60"/>
  <c r="W450" i="18"/>
  <c r="P46" i="18"/>
  <c r="G5" i="63"/>
  <c r="H5" i="63"/>
  <c r="G6" i="63"/>
  <c r="H6" i="63"/>
  <c r="J6" i="63" s="1"/>
  <c r="K6" i="63" s="1"/>
  <c r="G7" i="63"/>
  <c r="H7" i="63"/>
  <c r="N8" i="63" s="1"/>
  <c r="G2" i="63"/>
  <c r="H2" i="63"/>
  <c r="J2" i="63" s="1"/>
  <c r="K2" i="63" s="1"/>
  <c r="G3" i="63"/>
  <c r="H3" i="63"/>
  <c r="S97" i="60" l="1"/>
  <c r="R96" i="60"/>
  <c r="J7" i="63"/>
  <c r="K7" i="63" s="1"/>
  <c r="J3" i="63"/>
  <c r="K3" i="63" s="1"/>
  <c r="J5" i="63"/>
  <c r="K5" i="63" s="1"/>
  <c r="N6" i="63"/>
  <c r="N7" i="63"/>
  <c r="N3" i="63"/>
  <c r="W449" i="18"/>
  <c r="R95" i="60" l="1"/>
  <c r="S96" i="60"/>
  <c r="W448" i="18"/>
  <c r="R94" i="60" l="1"/>
  <c r="S95" i="60"/>
  <c r="D168" i="58"/>
  <c r="S94" i="60" l="1"/>
  <c r="R93" i="60"/>
  <c r="O473" i="52"/>
  <c r="J473" i="52"/>
  <c r="S93" i="60" l="1"/>
  <c r="R92" i="60"/>
  <c r="W443" i="18"/>
  <c r="W444" i="18"/>
  <c r="W445" i="18"/>
  <c r="W446" i="18"/>
  <c r="W447" i="18"/>
  <c r="W454" i="18"/>
  <c r="W455" i="18"/>
  <c r="AL478" i="18"/>
  <c r="AL477" i="18" s="1"/>
  <c r="O472" i="52"/>
  <c r="J472" i="52"/>
  <c r="S92" i="60" l="1"/>
  <c r="R91" i="60"/>
  <c r="AM477" i="18"/>
  <c r="AL476" i="18"/>
  <c r="AM478" i="18"/>
  <c r="R90" i="60" l="1"/>
  <c r="S91" i="60"/>
  <c r="AL475" i="18"/>
  <c r="AM476" i="18"/>
  <c r="AL466" i="18"/>
  <c r="R555" i="18"/>
  <c r="W442" i="18"/>
  <c r="W441" i="18"/>
  <c r="W440" i="18"/>
  <c r="W439" i="18"/>
  <c r="W438"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32" i="18"/>
  <c r="W433" i="18"/>
  <c r="W434" i="18"/>
  <c r="W435" i="18"/>
  <c r="W436" i="18"/>
  <c r="W437" i="18"/>
  <c r="S82" i="60" l="1"/>
  <c r="R81" i="60"/>
  <c r="AL457" i="18"/>
  <c r="AM457" i="18" s="1"/>
  <c r="AM458" i="18"/>
  <c r="O454" i="52"/>
  <c r="J454" i="52"/>
  <c r="S81" i="60" l="1"/>
  <c r="R80" i="60"/>
  <c r="W431" i="18"/>
  <c r="R79" i="60" l="1"/>
  <c r="S80" i="60"/>
  <c r="R78" i="60" l="1"/>
  <c r="S79" i="60"/>
  <c r="W430" i="18"/>
  <c r="W429" i="18"/>
  <c r="S78" i="60" l="1"/>
  <c r="R77" i="60"/>
  <c r="W428" i="18"/>
  <c r="W427" i="18"/>
  <c r="S77" i="60" l="1"/>
  <c r="R76" i="60"/>
  <c r="W426" i="18"/>
  <c r="S76" i="60" l="1"/>
  <c r="R75" i="60"/>
  <c r="W425" i="18"/>
  <c r="R74" i="60" l="1"/>
  <c r="S75" i="60"/>
  <c r="W424" i="18"/>
  <c r="R73" i="60" l="1"/>
  <c r="S74" i="60"/>
  <c r="W423" i="18"/>
  <c r="S73" i="60" l="1"/>
  <c r="R72" i="60"/>
  <c r="W422" i="18"/>
  <c r="R71" i="60" l="1"/>
  <c r="S72" i="60"/>
  <c r="W421"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9" i="18"/>
  <c r="R68" i="60" l="1"/>
  <c r="S69" i="60"/>
  <c r="W418" i="18"/>
  <c r="S68" i="60" l="1"/>
  <c r="R67" i="60"/>
  <c r="W417" i="18"/>
  <c r="S67" i="60" l="1"/>
  <c r="R66" i="60"/>
  <c r="W416" i="18"/>
  <c r="R65" i="60" l="1"/>
  <c r="S66" i="60"/>
  <c r="W415" i="18"/>
  <c r="R64" i="60" l="1"/>
  <c r="S65" i="60"/>
  <c r="G1" i="63"/>
  <c r="S64" i="60" l="1"/>
  <c r="R63" i="60"/>
  <c r="N2" i="63"/>
  <c r="W414" i="18"/>
  <c r="S63" i="60" l="1"/>
  <c r="R62" i="60"/>
  <c r="W413" i="18"/>
  <c r="S62" i="60" l="1"/>
  <c r="R61" i="60"/>
  <c r="W412" i="18"/>
  <c r="R19" i="63"/>
  <c r="S61" i="60" l="1"/>
  <c r="R60" i="60"/>
  <c r="W411" i="18"/>
  <c r="R59" i="60" l="1"/>
  <c r="S60" i="60"/>
  <c r="W410" i="18"/>
  <c r="S59" i="60" l="1"/>
  <c r="R58" i="60"/>
  <c r="W409" i="18"/>
  <c r="S58" i="60" l="1"/>
  <c r="R57" i="60"/>
  <c r="W408" i="18"/>
  <c r="R56" i="60" l="1"/>
  <c r="S57" i="60"/>
  <c r="W404" i="18"/>
  <c r="W407" i="18"/>
  <c r="R55" i="60" l="1"/>
  <c r="S56" i="60"/>
  <c r="W406" i="18"/>
  <c r="R54" i="60" l="1"/>
  <c r="S55" i="60"/>
  <c r="W405" i="18"/>
  <c r="S54" i="60" l="1"/>
  <c r="R53" i="60"/>
  <c r="W403" i="18"/>
  <c r="R52" i="60" l="1"/>
  <c r="S53" i="60"/>
  <c r="W402" i="18"/>
  <c r="S52" i="60" l="1"/>
  <c r="R51" i="60"/>
  <c r="W400" i="18"/>
  <c r="W399" i="18"/>
  <c r="W398" i="18"/>
  <c r="W395" i="18"/>
  <c r="W396" i="18"/>
  <c r="W397" i="18"/>
  <c r="W394" i="18"/>
  <c r="W401" i="18"/>
  <c r="S51" i="60" l="1"/>
  <c r="R50" i="60"/>
  <c r="W392" i="18"/>
  <c r="S50" i="60" l="1"/>
  <c r="R49" i="60"/>
  <c r="W391" i="18"/>
  <c r="R48" i="60" l="1"/>
  <c r="S49" i="60"/>
  <c r="W390" i="18"/>
  <c r="R47" i="60" l="1"/>
  <c r="S48" i="60"/>
  <c r="W389" i="18"/>
  <c r="R46" i="60" l="1"/>
  <c r="S47" i="60"/>
  <c r="W388" i="18"/>
  <c r="S46" i="60" l="1"/>
  <c r="R45" i="60"/>
  <c r="W387" i="18"/>
  <c r="W386" i="18"/>
  <c r="R44" i="60" l="1"/>
  <c r="S45" i="60"/>
  <c r="R13"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R41" i="60" l="1"/>
  <c r="S42" i="60"/>
  <c r="W383" i="18"/>
  <c r="R40" i="60" l="1"/>
  <c r="S41" i="60"/>
  <c r="W382" i="18"/>
  <c r="S40" i="60" l="1"/>
  <c r="R39" i="60"/>
  <c r="W381" i="18"/>
  <c r="S39" i="60" l="1"/>
  <c r="R38" i="60"/>
  <c r="W380" i="18"/>
  <c r="W379" i="18"/>
  <c r="W378" i="18"/>
  <c r="W377" i="18"/>
  <c r="R37" i="60" l="1"/>
  <c r="S38" i="60"/>
  <c r="W376" i="18"/>
  <c r="S37" i="60" l="1"/>
  <c r="R36" i="60"/>
  <c r="W375" i="18"/>
  <c r="S36" i="60" l="1"/>
  <c r="R35" i="60"/>
  <c r="Q13" i="63"/>
  <c r="R34" i="60" l="1"/>
  <c r="S35" i="60"/>
  <c r="V539" i="18"/>
  <c r="S34" i="60" l="1"/>
  <c r="R33" i="60"/>
  <c r="AM268" i="18"/>
  <c r="AM269" i="18"/>
  <c r="P32" i="18"/>
  <c r="N32" i="18" s="1"/>
  <c r="R32" i="60" l="1"/>
  <c r="S32" i="60" s="1"/>
  <c r="S33" i="60"/>
  <c r="AM247" i="18"/>
  <c r="S165" i="60" l="1"/>
  <c r="AM246" i="18"/>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55" i="18"/>
  <c r="L155" i="18"/>
  <c r="W352" i="18"/>
  <c r="AL214" i="18" l="1"/>
  <c r="AM214" i="18" s="1"/>
  <c r="AM215" i="18"/>
  <c r="AM451" i="18"/>
  <c r="AL450" i="18"/>
  <c r="W351" i="18"/>
  <c r="AL449" i="18" l="1"/>
  <c r="AM450" i="18"/>
  <c r="W350"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9" i="18"/>
  <c r="AL443" i="18" l="1"/>
  <c r="AM444" i="18"/>
  <c r="G109" i="18"/>
  <c r="G108" i="18"/>
  <c r="W348" i="18"/>
  <c r="J347" i="52"/>
  <c r="AM443" i="18" l="1"/>
  <c r="AL442" i="18"/>
  <c r="L149" i="18"/>
  <c r="M149" i="18"/>
  <c r="M148" i="18"/>
  <c r="L148"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D413" i="15" l="1"/>
  <c r="F414" i="15"/>
  <c r="D412" i="15" l="1"/>
  <c r="F413" i="15"/>
  <c r="W336" i="18"/>
  <c r="O301" i="52"/>
  <c r="F412" i="15" l="1"/>
  <c r="D411" i="15"/>
  <c r="D410" i="15" l="1"/>
  <c r="F411" i="15"/>
  <c r="W335" i="18"/>
  <c r="W334" i="18"/>
  <c r="J300" i="52"/>
  <c r="F410" i="15" l="1"/>
  <c r="D409" i="15"/>
  <c r="W333" i="18"/>
  <c r="O299" i="52"/>
  <c r="W332" i="18"/>
  <c r="W331" i="18"/>
  <c r="D408" i="15" l="1"/>
  <c r="F409" i="15"/>
  <c r="W330" i="18"/>
  <c r="W329" i="18"/>
  <c r="W328" i="18"/>
  <c r="N30" i="18"/>
  <c r="O298" i="52"/>
  <c r="D407" i="15" l="1"/>
  <c r="F408" i="15"/>
  <c r="J298" i="52"/>
  <c r="F407" i="15" l="1"/>
  <c r="D406" i="15"/>
  <c r="O297" i="52"/>
  <c r="W327" i="18"/>
  <c r="W326" i="18"/>
  <c r="W325" i="18"/>
  <c r="T541" i="18" l="1"/>
  <c r="T543" i="18" s="1"/>
  <c r="D405" i="15"/>
  <c r="F406" i="15"/>
  <c r="W324" i="18"/>
  <c r="J296" i="52"/>
  <c r="D404" i="15" l="1"/>
  <c r="F405" i="15"/>
  <c r="J295" i="52"/>
  <c r="F404" i="15" l="1"/>
  <c r="D403" i="15"/>
  <c r="W323"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2" i="18"/>
  <c r="M108" i="18" s="1"/>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8" i="18"/>
  <c r="M109" i="18" s="1"/>
  <c r="W278" i="18"/>
  <c r="O177" i="52"/>
  <c r="J177" i="52"/>
  <c r="G138" i="18" l="1"/>
  <c r="G139" i="18" s="1"/>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M8" i="60"/>
  <c r="R8" i="60" s="1"/>
  <c r="M6" i="60"/>
  <c r="R6" i="60" l="1"/>
  <c r="AL410" i="18"/>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H13" i="60" l="1"/>
  <c r="H9" i="60"/>
  <c r="H11" i="60"/>
  <c r="H7" i="60"/>
  <c r="H8" i="60"/>
  <c r="H6" i="60"/>
  <c r="N6" i="60"/>
  <c r="H12" i="60"/>
  <c r="H10" i="60"/>
  <c r="H14" i="60"/>
  <c r="F12" i="60"/>
  <c r="D6" i="60"/>
  <c r="J8" i="60"/>
  <c r="J11" i="60"/>
  <c r="J12" i="60"/>
  <c r="J13" i="60"/>
  <c r="J14" i="60"/>
  <c r="F9" i="60"/>
  <c r="J9" i="60"/>
  <c r="J7" i="60"/>
  <c r="J10" i="60"/>
  <c r="J6" i="60"/>
  <c r="D8"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H32" i="60" l="1"/>
  <c r="H25" i="60"/>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36"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5"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1" i="18" l="1"/>
  <c r="N111" i="18" s="1"/>
  <c r="L112" i="18"/>
  <c r="N112" i="18" s="1"/>
  <c r="L110" i="18"/>
  <c r="N110"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R180" i="18" s="1"/>
  <c r="AM120" i="18" l="1"/>
  <c r="AL119" i="18"/>
  <c r="AM119" i="18" l="1"/>
  <c r="AL118" i="18"/>
  <c r="S84" i="18"/>
  <c r="S85" i="18" s="1"/>
  <c r="R185" i="18"/>
  <c r="R183" i="18"/>
  <c r="D57" i="51"/>
  <c r="S86" i="18" l="1"/>
  <c r="S87" i="18" s="1"/>
  <c r="S88" i="18" s="1"/>
  <c r="AL117" i="18"/>
  <c r="AM118" i="18"/>
  <c r="AM117" i="18" l="1"/>
  <c r="AL116" i="18"/>
  <c r="S89" i="18"/>
  <c r="S90" i="18" s="1"/>
  <c r="N33"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81"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5" i="18"/>
  <c r="T523" i="18" s="1"/>
  <c r="V526" i="18" s="1"/>
  <c r="AJ276" i="18"/>
  <c r="AJ277" i="18" s="1"/>
  <c r="G305" i="20"/>
  <c r="I306" i="20"/>
  <c r="K306" i="20"/>
  <c r="J306" i="20"/>
  <c r="AL74" i="18"/>
  <c r="AM75" i="18"/>
  <c r="U536" i="18" l="1"/>
  <c r="V536"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54" i="18"/>
  <c r="V155" i="18"/>
  <c r="V153"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5" i="18"/>
  <c r="W167"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53" i="18"/>
  <c r="W153" i="18"/>
  <c r="X106" i="18"/>
  <c r="W106" i="18"/>
  <c r="X155" i="18"/>
  <c r="W155" i="18"/>
  <c r="X105" i="18"/>
  <c r="W105" i="18"/>
  <c r="X154" i="18"/>
  <c r="W154" i="18"/>
  <c r="W107" i="18"/>
  <c r="X107" i="18"/>
  <c r="W101" i="18"/>
  <c r="X101" i="18"/>
  <c r="W100" i="18"/>
  <c r="X100" i="18"/>
  <c r="W171"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6" i="18"/>
  <c r="G140" i="18" s="1"/>
  <c r="G302" i="20"/>
  <c r="K303" i="20"/>
  <c r="I303" i="20"/>
  <c r="J303" i="20"/>
  <c r="X26" i="18"/>
  <c r="W89" i="18"/>
  <c r="X89" i="18"/>
  <c r="W25" i="18"/>
  <c r="X25" i="18"/>
  <c r="X24" i="18"/>
  <c r="W88" i="18"/>
  <c r="X88" i="18"/>
  <c r="W23" i="18"/>
  <c r="W87" i="18"/>
  <c r="X87" i="18"/>
  <c r="W86" i="18"/>
  <c r="X86" i="18"/>
  <c r="N36" i="18"/>
  <c r="W164" i="18"/>
  <c r="X85" i="18"/>
  <c r="W85" i="18"/>
  <c r="W22" i="18"/>
  <c r="X22" i="18"/>
  <c r="W20" i="18"/>
  <c r="X20" i="18"/>
  <c r="W116" i="18"/>
  <c r="X116" i="18"/>
  <c r="W21" i="18"/>
  <c r="X21" i="18"/>
  <c r="AL71" i="18"/>
  <c r="AM72" i="18"/>
  <c r="W170" i="18" l="1"/>
  <c r="X164" i="18" s="1"/>
  <c r="W172" i="18"/>
  <c r="W173" i="18" s="1"/>
  <c r="N62" i="18"/>
  <c r="I140" i="18"/>
  <c r="I141" i="18"/>
  <c r="G141" i="18"/>
  <c r="L22" i="18"/>
  <c r="G301" i="20"/>
  <c r="I302" i="20"/>
  <c r="K302" i="20"/>
  <c r="J302" i="20"/>
  <c r="AL70" i="18"/>
  <c r="AM71" i="18"/>
  <c r="X167" i="18" l="1"/>
  <c r="X165" i="18"/>
  <c r="X166"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S140" i="18" s="1"/>
  <c r="V139" i="18" l="1"/>
  <c r="X139" i="18" s="1"/>
  <c r="S141" i="18"/>
  <c r="X138" i="18"/>
  <c r="V140" i="18" l="1"/>
  <c r="W139" i="18"/>
  <c r="S142" i="18" l="1"/>
  <c r="V141" i="18"/>
  <c r="X140" i="18"/>
  <c r="W140" i="18"/>
  <c r="W141" i="18" l="1"/>
  <c r="X141" i="18"/>
  <c r="S143" i="18"/>
  <c r="V142" i="18"/>
  <c r="V143" i="18" l="1"/>
  <c r="X143" i="18" s="1"/>
  <c r="S144" i="18"/>
  <c r="S145" i="18" s="1"/>
  <c r="S146" i="18" s="1"/>
  <c r="W142" i="18"/>
  <c r="X142" i="18"/>
  <c r="W143" i="18" l="1"/>
  <c r="V144" i="18"/>
  <c r="X144" i="18" s="1"/>
  <c r="W144" i="18" l="1"/>
  <c r="V145" i="18" l="1"/>
  <c r="W145" i="18" l="1"/>
  <c r="X145" i="18"/>
  <c r="S147" i="18" l="1"/>
  <c r="V147" i="18" s="1"/>
  <c r="V146" i="18"/>
  <c r="X146" i="18" l="1"/>
  <c r="W146" i="18"/>
  <c r="W147" i="18"/>
  <c r="X147" i="18"/>
</calcChain>
</file>

<file path=xl/sharedStrings.xml><?xml version="1.0" encoding="utf-8"?>
<sst xmlns="http://schemas.openxmlformats.org/spreadsheetml/2006/main" count="16050" uniqueCount="6688">
  <si>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</si>
  <si>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</si>
  <si>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</si>
  <si>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</si>
  <si>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</si>
  <si>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</si>
  <si>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</si>
  <si>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</si>
  <si>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</si>
  <si>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</si>
  <si>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</si>
  <si>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</si>
  <si>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</si>
  <si>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</si>
  <si>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</si>
  <si>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</si>
  <si>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</si>
  <si>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</si>
  <si>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</si>
  <si>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</si>
  <si>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</si>
  <si>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</si>
  <si>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</si>
  <si>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</si>
  <si>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</si>
  <si>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</si>
  <si>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</si>
  <si>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</si>
  <si>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</si>
  <si>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</si>
  <si>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</si>
  <si>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</si>
  <si>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</si>
  <si>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</si>
  <si>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</si>
  <si>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</si>
  <si>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</si>
  <si>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</si>
  <si>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</si>
  <si>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</si>
  <si>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</si>
  <si>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</si>
  <si>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</si>
  <si>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</si>
  <si>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</si>
  <si>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</si>
  <si>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</si>
  <si>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</si>
  <si>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</si>
  <si>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</si>
  <si>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</si>
  <si>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</si>
  <si>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</si>
  <si>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</si>
  <si>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</si>
  <si>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</si>
  <si>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</si>
  <si>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</si>
  <si>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</si>
  <si>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</si>
  <si>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</si>
  <si>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</si>
  <si>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</si>
  <si>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</si>
  <si>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</si>
  <si>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</si>
  <si>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</si>
  <si>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</si>
  <si>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</si>
  <si>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</si>
  <si>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</si>
  <si>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</si>
  <si>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</si>
  <si>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</si>
  <si>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</si>
  <si>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</si>
  <si>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</si>
  <si>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</si>
  <si>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</si>
  <si>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</si>
  <si>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</si>
  <si>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</si>
  <si>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</si>
  <si>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</si>
  <si>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</si>
  <si>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</si>
  <si>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</si>
  <si>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</si>
  <si>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</si>
  <si>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</si>
  <si>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</si>
  <si>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</si>
  <si>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</si>
  <si>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</si>
  <si>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</si>
  <si>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</si>
  <si>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</si>
  <si>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</si>
  <si>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</si>
  <si>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</si>
  <si>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</si>
  <si>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</si>
  <si>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</si>
  <si>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</si>
  <si>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</si>
  <si>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</si>
  <si>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</si>
  <si>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</si>
  <si>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</si>
  <si>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</si>
  <si>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</si>
  <si>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</si>
  <si>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</si>
  <si>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</si>
  <si>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</si>
  <si>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</si>
  <si>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</si>
  <si>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</si>
  <si>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</si>
  <si>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</si>
  <si>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</si>
  <si>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</si>
  <si>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</si>
  <si>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</si>
  <si>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</si>
  <si>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</si>
  <si>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</si>
  <si>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</si>
  <si>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</si>
  <si>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</si>
  <si>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</si>
  <si>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</si>
  <si>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</si>
  <si>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</si>
  <si>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</si>
  <si>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</si>
  <si>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</si>
  <si>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</si>
  <si>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</si>
  <si>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</si>
  <si>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</si>
  <si>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</si>
  <si>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</si>
  <si>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</si>
  <si>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</si>
  <si>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</si>
  <si>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</si>
  <si>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</si>
  <si>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</si>
  <si>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</si>
  <si>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</si>
  <si>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</si>
  <si>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</si>
  <si>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</si>
  <si>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</si>
  <si>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</si>
  <si>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</si>
  <si>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</si>
  <si>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</si>
  <si>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</si>
  <si>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</si>
  <si>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</si>
  <si>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</si>
  <si>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</si>
  <si>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</si>
  <si>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</si>
  <si>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</si>
  <si>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</si>
  <si>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</si>
  <si>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</si>
  <si>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</si>
  <si>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</si>
  <si>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</si>
  <si>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</si>
  <si>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</si>
  <si>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</si>
  <si>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</si>
  <si>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</si>
  <si>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</si>
  <si>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</si>
  <si>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</si>
  <si>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</si>
  <si>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</si>
  <si>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</si>
  <si>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</si>
  <si>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</si>
  <si>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</si>
  <si>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</si>
  <si>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</si>
  <si>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</si>
  <si>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</si>
  <si>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</si>
  <si>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</si>
  <si>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</si>
  <si>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</si>
  <si>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</si>
  <si>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</si>
  <si>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</si>
  <si>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</si>
  <si>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</si>
  <si>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</si>
  <si>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</si>
  <si>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</si>
  <si>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</si>
  <si>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</si>
  <si>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</si>
  <si>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</si>
  <si>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</si>
  <si>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</si>
  <si>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</si>
  <si>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</si>
  <si>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</si>
  <si>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</si>
  <si>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</si>
  <si>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</si>
  <si>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</si>
  <si>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</si>
  <si>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</si>
  <si>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</si>
  <si>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</si>
  <si>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</si>
  <si>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</si>
  <si>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</si>
  <si>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</si>
  <si>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</si>
  <si>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</si>
  <si>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</si>
  <si>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</si>
  <si>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</si>
  <si>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</si>
  <si>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</si>
  <si>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</si>
  <si>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</si>
  <si>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</si>
  <si>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</si>
  <si>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</si>
  <si>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</si>
  <si>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</si>
  <si>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</si>
  <si>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</si>
  <si>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</si>
  <si>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</si>
  <si>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</si>
  <si>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</si>
  <si>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</si>
  <si>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</si>
  <si>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</si>
  <si>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</si>
  <si>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</si>
  <si>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</si>
  <si>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</si>
  <si>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</si>
  <si>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</si>
  <si>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</si>
  <si>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</si>
  <si>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</si>
  <si>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</si>
  <si>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</si>
  <si>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</si>
  <si>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</si>
  <si>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</si>
  <si>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</si>
  <si>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</si>
  <si>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</si>
  <si>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</si>
  <si>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</si>
  <si>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</si>
  <si>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</si>
  <si>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</si>
  <si>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</si>
  <si>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</si>
  <si>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</si>
  <si>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</si>
  <si>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</si>
  <si>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</si>
  <si>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</si>
  <si>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</si>
  <si>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</si>
  <si>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</si>
  <si>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</si>
  <si>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</si>
  <si>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</si>
  <si>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</si>
  <si>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</si>
  <si>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</si>
  <si>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</si>
  <si>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</si>
  <si>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</si>
  <si>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</si>
  <si>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</si>
  <si>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</si>
  <si>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</si>
  <si>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</si>
  <si>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</si>
  <si>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</si>
  <si>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</si>
  <si>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</si>
  <si>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</si>
  <si>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</si>
  <si>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</si>
  <si>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</si>
  <si>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</si>
  <si>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</si>
  <si>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</si>
  <si>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</si>
  <si>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</si>
  <si>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</si>
  <si>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</si>
  <si>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</si>
  <si>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</si>
  <si>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</si>
  <si>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</si>
  <si>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</si>
  <si>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</si>
  <si>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</si>
  <si>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</si>
  <si>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</si>
  <si>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</si>
  <si>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</si>
  <si>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</si>
  <si>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</si>
  <si>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</si>
  <si>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</si>
  <si>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</si>
  <si>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</si>
  <si>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</si>
  <si>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</si>
  <si>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</si>
  <si>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</si>
  <si>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</si>
  <si>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</si>
  <si>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</si>
  <si>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</si>
  <si>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</si>
  <si>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</si>
  <si>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</si>
  <si>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</si>
  <si>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</si>
  <si>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</si>
  <si>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</si>
  <si>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</si>
  <si>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</si>
  <si>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</si>
  <si>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</si>
  <si>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</si>
  <si>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</si>
  <si>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</si>
  <si>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</si>
  <si>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</si>
  <si>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</si>
  <si>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</si>
  <si>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</si>
  <si>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</si>
  <si>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</si>
  <si>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</si>
  <si>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</si>
  <si>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</si>
  <si>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</si>
  <si>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</si>
  <si>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</si>
  <si>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</si>
  <si>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</si>
  <si>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</si>
  <si>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</si>
  <si>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</si>
  <si>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</si>
  <si>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</si>
  <si>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</si>
  <si>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</si>
  <si>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</si>
  <si>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</si>
  <si>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</si>
  <si>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</si>
  <si>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</si>
  <si>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</si>
  <si>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</si>
  <si>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</si>
  <si>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</si>
  <si>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</si>
  <si>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</si>
  <si>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</si>
  <si>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</si>
  <si>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</si>
  <si>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</si>
  <si>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</si>
  <si>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</si>
  <si>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</si>
  <si>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</si>
  <si>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</si>
  <si>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</si>
  <si>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</si>
  <si>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</si>
  <si>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</si>
  <si>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</si>
  <si>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</si>
  <si>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</si>
  <si>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</si>
  <si>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</si>
  <si>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</si>
  <si>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</si>
  <si>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</si>
  <si>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</si>
  <si>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</si>
  <si>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</si>
  <si>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</si>
  <si>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</si>
  <si>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</si>
  <si>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</si>
  <si>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</si>
  <si>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</si>
  <si>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</si>
  <si>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</si>
  <si>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</si>
  <si>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</si>
  <si>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</si>
  <si>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</si>
  <si>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</si>
  <si>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</si>
  <si>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</si>
  <si>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</si>
  <si>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</si>
  <si>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</si>
  <si>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</si>
  <si>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</si>
  <si>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</si>
  <si>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</si>
  <si>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</si>
  <si>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</si>
  <si>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</si>
  <si>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</si>
  <si>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</si>
  <si>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</si>
  <si>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</si>
  <si>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</si>
  <si>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</si>
  <si>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</si>
  <si>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</si>
  <si>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</si>
  <si>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</si>
  <si>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</si>
  <si>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</si>
  <si>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</si>
  <si>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</si>
  <si>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</si>
  <si>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</si>
  <si>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</si>
  <si>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</si>
  <si>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</si>
  <si>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</si>
  <si>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</si>
  <si>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</si>
  <si>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</si>
  <si>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</si>
  <si>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</si>
  <si>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</si>
  <si>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</si>
  <si>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</si>
  <si>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</si>
  <si>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</si>
  <si>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</si>
  <si>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</si>
  <si>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</si>
  <si>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</si>
  <si>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</si>
  <si>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</si>
  <si>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</si>
  <si>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</si>
  <si>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</si>
  <si>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</si>
  <si>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</si>
  <si>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</si>
  <si>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</si>
  <si>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</si>
  <si>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</si>
  <si>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</si>
  <si>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</si>
  <si>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</si>
  <si>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</si>
  <si>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</si>
  <si>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</si>
  <si>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</si>
  <si>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</si>
  <si>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</si>
  <si>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</si>
  <si>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</si>
  <si>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</si>
  <si>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</si>
  <si>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</si>
  <si>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</si>
  <si>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</si>
  <si>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</si>
  <si>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</si>
  <si>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</si>
  <si>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</si>
  <si>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</si>
  <si>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</si>
  <si>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</si>
  <si>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</si>
  <si>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</si>
  <si>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</si>
  <si>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</si>
  <si>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</si>
  <si>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</si>
  <si>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</si>
  <si>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</si>
  <si>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</si>
  <si>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</si>
  <si>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</si>
  <si>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</si>
  <si>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</si>
  <si>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</si>
  <si>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</si>
  <si>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</si>
  <si>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</si>
  <si>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</si>
  <si>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</si>
  <si>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</si>
  <si>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</si>
  <si>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</si>
  <si>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</si>
  <si>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</si>
  <si>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</si>
  <si>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</si>
  <si>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</si>
  <si>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</si>
  <si>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</si>
  <si>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</si>
  <si>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</si>
  <si>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</si>
  <si>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</si>
  <si>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</si>
  <si>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</si>
  <si>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</si>
  <si>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</si>
  <si>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</si>
  <si>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</si>
  <si>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</si>
  <si>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</si>
  <si>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</si>
  <si>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</si>
  <si>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</si>
  <si>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</si>
  <si>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</si>
  <si>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</si>
  <si>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</si>
  <si>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</si>
  <si>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</si>
  <si>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</si>
  <si>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</si>
  <si>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</si>
  <si>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</si>
  <si>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</si>
  <si>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</si>
  <si>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</si>
  <si>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</si>
  <si>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</si>
  <si>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</si>
  <si>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</si>
  <si>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</si>
  <si>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</si>
  <si>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</si>
  <si>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</si>
  <si>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</si>
  <si>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</si>
  <si>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</si>
  <si>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</si>
  <si>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</si>
  <si>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</si>
  <si>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</si>
  <si>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</si>
  <si>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</si>
  <si>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</si>
  <si>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</si>
  <si>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</si>
  <si>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</si>
  <si>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</si>
  <si>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</si>
  <si>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</si>
  <si>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</si>
  <si>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</si>
  <si>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</si>
  <si>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</si>
  <si>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</si>
  <si>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</si>
  <si>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</si>
  <si>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</si>
  <si>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</si>
  <si>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</si>
  <si>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</si>
  <si>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</si>
  <si>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</si>
  <si>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</si>
  <si>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</si>
  <si>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</si>
  <si>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</si>
  <si>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</si>
  <si>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</si>
  <si>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</si>
  <si>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</si>
  <si>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</si>
  <si>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</si>
  <si>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</si>
  <si>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</si>
  <si>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</si>
  <si>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</si>
  <si>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</si>
  <si>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</si>
  <si>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</si>
  <si>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</si>
  <si>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</si>
  <si>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</si>
  <si>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</si>
  <si>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</si>
  <si>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</si>
  <si>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</si>
  <si>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</si>
  <si>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</si>
  <si>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</si>
  <si>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</si>
  <si>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</si>
  <si>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</si>
  <si>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</si>
  <si>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</si>
  <si>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</si>
  <si>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</si>
  <si>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</si>
  <si>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</si>
  <si>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</si>
  <si>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</si>
  <si>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</si>
  <si>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</si>
  <si>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</si>
  <si>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</si>
  <si>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</si>
  <si>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</si>
  <si>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</si>
  <si>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</si>
  <si>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</si>
  <si>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</si>
  <si>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</si>
  <si>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</si>
  <si>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</si>
  <si>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</si>
  <si>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</si>
  <si>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</si>
  <si>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</si>
  <si>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</si>
  <si>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</si>
  <si>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</si>
  <si>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</si>
  <si>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</si>
  <si>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</si>
  <si>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</si>
  <si>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</si>
  <si>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</si>
  <si>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</si>
  <si>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</si>
  <si>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</si>
  <si>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</si>
  <si>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</si>
  <si>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</si>
  <si>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</si>
  <si>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</si>
  <si>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</si>
  <si>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</si>
  <si>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</si>
  <si>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</si>
  <si>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</si>
  <si>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</si>
  <si>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</si>
  <si>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</si>
  <si>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</si>
  <si>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</si>
  <si>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</si>
  <si>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</si>
  <si>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</si>
  <si>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</si>
  <si>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</si>
  <si>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</si>
  <si>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</si>
  <si>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</si>
  <si>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</si>
  <si>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</si>
  <si>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</si>
  <si>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</si>
  <si>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</si>
  <si>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</si>
  <si>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</si>
  <si>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</si>
  <si>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</si>
  <si>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</si>
  <si>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</si>
  <si>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</si>
  <si>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</si>
  <si>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</si>
  <si>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</si>
  <si>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</si>
  <si>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</si>
  <si>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</si>
  <si>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</si>
  <si>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</si>
  <si>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</si>
  <si>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</si>
  <si>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</si>
  <si>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</si>
  <si>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</si>
  <si>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</si>
  <si>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</si>
  <si>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</si>
  <si>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</si>
  <si>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</si>
  <si>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</si>
  <si>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</si>
  <si>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</si>
  <si>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</si>
  <si>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</si>
  <si>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</si>
  <si>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</si>
  <si>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</si>
  <si>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</si>
  <si>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</si>
  <si>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</si>
  <si>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</si>
  <si>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</si>
  <si>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</si>
  <si>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</si>
  <si>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</si>
  <si>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</si>
  <si>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</si>
  <si>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</si>
  <si>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</si>
  <si>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</si>
  <si>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</si>
  <si>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</si>
  <si>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</si>
  <si>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</si>
  <si>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</si>
  <si>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</si>
  <si>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</si>
  <si>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</si>
  <si>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</si>
  <si>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</si>
  <si>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</si>
  <si>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</si>
  <si>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</si>
  <si>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</si>
  <si>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</si>
  <si>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</si>
  <si>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</si>
  <si>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</si>
  <si>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</si>
  <si>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</si>
  <si>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</si>
  <si>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</si>
  <si>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</si>
  <si>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</si>
  <si>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</si>
  <si>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</si>
  <si>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</si>
  <si>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</si>
  <si>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</si>
  <si>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</si>
  <si>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</si>
  <si>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</si>
  <si>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</si>
  <si>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</si>
  <si>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</si>
  <si>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</si>
  <si>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</si>
  <si>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</si>
  <si>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</si>
  <si>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</si>
  <si>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</si>
  <si>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</si>
  <si>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</si>
  <si>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</si>
  <si>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</si>
  <si>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</si>
  <si>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</si>
  <si>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</si>
  <si>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</si>
  <si>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</si>
  <si>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</si>
  <si>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</si>
  <si>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</si>
  <si>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</si>
  <si>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</si>
  <si>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</si>
  <si>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</si>
  <si>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</si>
  <si>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</si>
  <si>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</si>
  <si>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</si>
  <si>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</si>
  <si>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</si>
  <si>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</si>
  <si>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</si>
  <si>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</si>
  <si>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</si>
  <si>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</si>
  <si>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</si>
  <si>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</si>
  <si>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</si>
  <si>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</si>
  <si>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</si>
  <si>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</si>
  <si>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</si>
  <si>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</si>
  <si>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</si>
  <si>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</si>
  <si>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</si>
  <si>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</si>
  <si>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</si>
  <si>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</si>
  <si>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</si>
  <si>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</si>
  <si>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</si>
  <si>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</si>
  <si>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</si>
  <si>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</si>
  <si>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</si>
  <si>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</si>
  <si>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</si>
  <si>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</si>
  <si>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</si>
  <si>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</si>
  <si>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</si>
  <si>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</si>
  <si>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</si>
  <si>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</si>
  <si>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</si>
  <si>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</si>
  <si>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</si>
  <si>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</si>
  <si>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</si>
  <si>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</si>
  <si>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</si>
  <si>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</si>
  <si>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</si>
  <si>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</si>
  <si>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</si>
  <si>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</si>
  <si>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</si>
  <si>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</si>
  <si>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</si>
  <si>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</si>
  <si>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</si>
  <si>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</si>
  <si>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</si>
  <si>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</si>
  <si>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</si>
  <si>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</si>
  <si>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</si>
  <si>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</si>
  <si>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</si>
  <si>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</si>
  <si>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</si>
  <si>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</si>
  <si>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</si>
  <si>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</si>
  <si>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</si>
  <si>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</si>
  <si>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</si>
  <si>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</si>
  <si>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</si>
  <si>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</si>
  <si>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</si>
  <si>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</si>
  <si>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</si>
  <si>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</si>
  <si>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</si>
  <si>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</si>
  <si>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</si>
  <si>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</si>
  <si>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</si>
  <si>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</si>
  <si>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</si>
  <si>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</si>
  <si>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</si>
  <si>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</si>
  <si>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</si>
  <si>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</si>
  <si>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</si>
  <si>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</si>
  <si>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</si>
  <si>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</si>
  <si>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</si>
  <si>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</si>
  <si>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</si>
  <si>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</si>
  <si>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</si>
  <si>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</si>
  <si>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</si>
  <si>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</si>
  <si>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</si>
  <si>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</si>
  <si>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</si>
  <si>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</si>
  <si>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</si>
  <si>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</si>
  <si>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</si>
  <si>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</si>
  <si>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</si>
  <si>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</si>
  <si>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</si>
  <si>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</si>
  <si>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</si>
  <si>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</si>
  <si>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</si>
  <si>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</si>
  <si>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</si>
  <si>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</si>
  <si>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</si>
  <si>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</si>
  <si>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</si>
  <si>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</si>
  <si>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</si>
  <si>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</si>
  <si>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</si>
  <si>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</si>
  <si>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</si>
  <si>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</si>
  <si>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</si>
  <si>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</si>
  <si>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</si>
  <si>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</si>
  <si>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</si>
  <si>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</si>
  <si>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</si>
  <si>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</si>
  <si>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</si>
  <si>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</si>
  <si>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</si>
  <si>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</si>
  <si>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</si>
  <si>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</si>
  <si>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</si>
  <si>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</si>
  <si>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</si>
  <si>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</si>
  <si>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</si>
  <si>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</si>
  <si>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</si>
  <si>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</si>
  <si>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</si>
  <si>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</si>
  <si>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</si>
  <si>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</si>
  <si>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</si>
  <si>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</si>
  <si>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</si>
  <si>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</si>
  <si>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</si>
  <si>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</si>
  <si>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</si>
  <si>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</si>
  <si>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</si>
  <si>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</si>
  <si>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</si>
  <si>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</si>
  <si>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</si>
  <si>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</si>
  <si>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</si>
  <si>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</si>
  <si>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</si>
  <si>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</si>
  <si>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</si>
  <si>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</si>
  <si>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</si>
  <si>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</si>
  <si>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</si>
  <si>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</si>
  <si>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</si>
  <si>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</si>
  <si>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</si>
  <si>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</si>
  <si>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</si>
  <si>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</si>
  <si>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</si>
  <si>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</si>
  <si>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</si>
  <si>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</si>
  <si>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</si>
  <si>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</si>
  <si>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</si>
  <si>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</si>
  <si>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</si>
  <si>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</si>
  <si>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</si>
  <si>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</si>
  <si>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</si>
  <si>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</si>
  <si>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</si>
  <si>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</si>
  <si>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</si>
  <si>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</si>
  <si>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</si>
  <si>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</si>
  <si>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</si>
  <si>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</si>
  <si>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</si>
  <si>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</si>
  <si>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</si>
  <si>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</si>
  <si>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</si>
  <si>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</si>
  <si>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</si>
  <si>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</si>
  <si>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</si>
  <si>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</si>
  <si>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</si>
  <si>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</si>
  <si>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</si>
  <si>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</si>
  <si>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</si>
  <si>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</si>
  <si>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</si>
  <si>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</si>
  <si>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</si>
  <si>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</si>
  <si>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</si>
  <si>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</si>
  <si>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</si>
  <si>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</si>
  <si>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</si>
  <si>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</si>
  <si>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</si>
  <si>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</si>
  <si>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</si>
  <si>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</si>
  <si>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</si>
  <si>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</si>
  <si>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</si>
  <si>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</si>
  <si>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</si>
  <si>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</si>
  <si>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</si>
  <si>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</si>
  <si>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</si>
  <si>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</si>
  <si>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</si>
  <si>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</si>
  <si>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</si>
  <si>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</si>
  <si>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</si>
  <si>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</si>
  <si>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</si>
  <si>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</si>
  <si>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</si>
  <si>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</si>
  <si>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</si>
  <si>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</si>
  <si>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</si>
  <si>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</si>
  <si>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</si>
  <si>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</si>
  <si>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</si>
  <si>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</si>
  <si>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</si>
  <si>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</si>
  <si>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</si>
  <si>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</si>
  <si>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</si>
  <si>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</si>
  <si>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</si>
  <si>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</si>
  <si>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</si>
  <si>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</si>
  <si>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</si>
  <si>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</si>
  <si>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</si>
  <si>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</si>
  <si>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</si>
  <si>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</si>
  <si>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</si>
  <si>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</si>
  <si>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</si>
  <si>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</si>
  <si>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</si>
  <si>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</si>
  <si>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</si>
  <si>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</si>
  <si>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</si>
  <si>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</si>
  <si>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</si>
  <si>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</si>
  <si>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</si>
  <si>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</si>
  <si>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</si>
  <si>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</si>
  <si>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</si>
  <si>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</si>
  <si>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</si>
  <si>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</si>
  <si>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</si>
  <si>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</si>
  <si>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</si>
  <si>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</si>
  <si>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</si>
  <si>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</si>
  <si>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</si>
  <si>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</si>
  <si>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</si>
  <si>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</si>
  <si>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</si>
  <si>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</si>
  <si>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</si>
  <si>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</si>
  <si>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</si>
  <si>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</si>
  <si>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</si>
  <si>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</si>
  <si>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</si>
  <si>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</si>
  <si>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</si>
  <si>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</si>
  <si>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</si>
  <si>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</si>
  <si>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</si>
  <si>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</si>
  <si>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</si>
  <si>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</si>
  <si>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</si>
  <si>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</si>
  <si>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</si>
  <si>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</si>
  <si>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</si>
  <si>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</si>
  <si>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</si>
  <si>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</si>
  <si>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</si>
  <si>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</si>
  <si>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</si>
  <si>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</si>
  <si>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</si>
  <si>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</si>
  <si>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</si>
  <si>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</si>
  <si>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</si>
  <si>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</si>
  <si>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</si>
  <si>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</si>
  <si>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</si>
  <si>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</si>
  <si>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</si>
  <si>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</si>
  <si>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</si>
  <si>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</si>
  <si>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</si>
  <si>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</si>
  <si>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</si>
  <si>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</si>
  <si>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</si>
  <si>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</si>
  <si>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</si>
  <si>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</si>
  <si>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</si>
  <si>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</si>
  <si>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</si>
  <si>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</si>
  <si>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</si>
  <si>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</si>
  <si>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</si>
  <si>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</si>
  <si>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</si>
  <si>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</si>
  <si>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</si>
  <si>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</si>
  <si>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</si>
  <si>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</si>
  <si>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</si>
  <si>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</si>
  <si>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</si>
  <si>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</si>
  <si>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</si>
  <si>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</si>
  <si>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</si>
  <si>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</si>
  <si>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</si>
  <si>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</si>
  <si>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</si>
  <si>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</si>
  <si>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</si>
  <si>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</si>
  <si>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</si>
  <si>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</si>
  <si>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</si>
  <si>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</si>
  <si>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</si>
  <si>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</si>
  <si>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</si>
  <si>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</si>
  <si>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</si>
  <si>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</si>
  <si>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</si>
  <si>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</si>
  <si>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</si>
  <si>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</si>
  <si>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</si>
  <si>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</si>
  <si>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</si>
  <si>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</si>
  <si>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</si>
  <si>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</si>
  <si>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</si>
  <si>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</si>
  <si>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</si>
  <si>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</si>
  <si>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</si>
  <si>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</si>
  <si>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</si>
  <si>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</si>
  <si>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</si>
  <si>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</si>
  <si>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</si>
  <si>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</si>
  <si>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</si>
  <si>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</si>
  <si>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</si>
  <si>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</si>
  <si>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</si>
  <si>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</si>
  <si>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</si>
  <si>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</si>
  <si>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</si>
  <si>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</si>
  <si>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</si>
  <si>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</si>
  <si>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</si>
  <si>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</si>
  <si>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</si>
  <si>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</si>
  <si>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</si>
  <si>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</si>
  <si>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</si>
  <si>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</si>
  <si>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</si>
  <si>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</si>
  <si>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</si>
  <si>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</si>
  <si>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</si>
  <si>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</si>
  <si>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</si>
  <si>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</si>
  <si>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</si>
  <si>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</si>
  <si>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</si>
  <si>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</si>
  <si>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</si>
  <si>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</si>
  <si>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</si>
  <si>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</si>
  <si>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</si>
  <si>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</si>
  <si>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</si>
  <si>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</si>
  <si>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</si>
  <si>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</si>
  <si>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</si>
  <si>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</si>
  <si>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</si>
  <si>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</si>
  <si>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</si>
  <si>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</si>
  <si>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</si>
  <si>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</si>
  <si>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</si>
  <si>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</si>
  <si>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</si>
  <si>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</si>
  <si>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</si>
  <si>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</si>
  <si>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</si>
  <si>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</si>
  <si>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</si>
  <si>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</si>
  <si>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</si>
  <si>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</si>
  <si>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</si>
  <si>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</si>
  <si>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</si>
  <si>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</si>
  <si>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</si>
  <si>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</si>
  <si>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</si>
  <si>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</si>
  <si>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</si>
  <si>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</si>
  <si>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</si>
  <si>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</si>
  <si>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</si>
  <si>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</si>
  <si>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</si>
  <si>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</si>
  <si>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</si>
  <si>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</si>
  <si>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</si>
  <si>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</si>
  <si>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</si>
  <si>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</si>
  <si>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</si>
  <si>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</si>
  <si>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</si>
  <si>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</si>
  <si>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</si>
  <si>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</si>
  <si>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</si>
  <si>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</si>
  <si>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</si>
  <si>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</si>
  <si>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</si>
  <si>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</si>
  <si>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</si>
  <si>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</si>
  <si>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</si>
  <si>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</si>
  <si>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</si>
  <si>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</si>
  <si>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</si>
  <si>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</si>
  <si>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</si>
  <si>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</si>
  <si>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</si>
  <si>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</si>
  <si>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</si>
  <si>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</si>
  <si>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</si>
  <si>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</si>
  <si>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</si>
  <si>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</si>
  <si>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</si>
  <si>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</si>
  <si>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</si>
  <si>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</si>
  <si>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</si>
  <si>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</si>
  <si>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</si>
  <si>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</si>
  <si>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</si>
  <si>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</si>
  <si>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</si>
  <si>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</si>
  <si>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</si>
  <si>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</si>
  <si>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</si>
  <si>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</si>
  <si>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</si>
  <si>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</si>
  <si>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</si>
  <si>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</si>
  <si>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</si>
  <si>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</si>
  <si>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</si>
  <si>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</si>
  <si>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</si>
  <si>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</si>
  <si>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</si>
  <si>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</si>
  <si>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</si>
  <si>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</si>
  <si>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</si>
  <si>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</si>
  <si>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</si>
  <si>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</si>
  <si>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</si>
  <si>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</si>
  <si>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</si>
  <si>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</si>
  <si>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</si>
  <si>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</si>
  <si>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</si>
  <si>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</si>
  <si>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</si>
  <si>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</si>
  <si>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</si>
  <si>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</si>
  <si>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</si>
  <si>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</si>
  <si>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</si>
  <si>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</si>
  <si>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</si>
  <si>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</si>
  <si>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</si>
  <si>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</si>
  <si>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</si>
  <si>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</si>
  <si>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</si>
  <si>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</si>
  <si>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</si>
  <si>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</si>
  <si>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</si>
  <si>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</si>
  <si>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</si>
  <si>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</si>
  <si>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</si>
  <si>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</si>
  <si>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</si>
  <si>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</si>
  <si>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</si>
  <si>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</si>
  <si>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</si>
  <si>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</si>
  <si>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</si>
  <si>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</si>
  <si>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</si>
  <si>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</si>
  <si>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</si>
  <si>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</si>
  <si>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</si>
  <si>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</si>
  <si>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</si>
  <si>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</si>
  <si>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</si>
  <si>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</si>
  <si>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</si>
  <si>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</si>
  <si>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</si>
  <si>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</si>
  <si>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</si>
  <si>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</si>
  <si>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</si>
  <si>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</si>
  <si>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</si>
  <si>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</si>
  <si>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</si>
  <si>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</si>
  <si>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</si>
  <si>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</si>
  <si>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</si>
  <si>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</si>
  <si>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</si>
  <si>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</si>
  <si>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</si>
  <si>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</si>
  <si>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</si>
  <si>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</si>
  <si>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</si>
  <si>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</si>
  <si>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</si>
  <si>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</si>
  <si>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</si>
  <si>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</si>
  <si>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</si>
  <si>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</si>
  <si>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</si>
  <si>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</si>
  <si>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</si>
  <si>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</si>
  <si>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</si>
  <si>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</si>
  <si>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</si>
  <si>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</si>
  <si>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</si>
  <si>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</si>
  <si>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</si>
  <si>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</si>
  <si>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</si>
  <si>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</si>
  <si>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</si>
  <si>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</si>
  <si>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</si>
  <si>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</si>
  <si>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</si>
  <si>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</si>
  <si>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</si>
  <si>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</si>
  <si>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</si>
  <si>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</si>
  <si>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</si>
  <si>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</si>
  <si>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</si>
  <si>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</si>
  <si>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</si>
  <si>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</si>
  <si>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</si>
  <si>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</si>
  <si>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</si>
  <si>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</si>
  <si>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</si>
  <si>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</si>
  <si>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</si>
  <si>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</si>
  <si>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</si>
  <si>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</si>
  <si>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</si>
  <si>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</si>
  <si>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</si>
  <si>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</si>
  <si>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</si>
  <si>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</si>
  <si>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</si>
  <si>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</si>
  <si>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</si>
  <si>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</si>
  <si>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</si>
  <si>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</si>
  <si>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</si>
  <si>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</si>
  <si>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</si>
  <si>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</si>
  <si>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</si>
  <si>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</si>
  <si>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</si>
  <si>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</si>
  <si>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</si>
  <si>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</si>
  <si>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</si>
  <si>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</si>
  <si>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</si>
  <si>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</si>
  <si>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</si>
  <si>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</si>
  <si>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</si>
  <si>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</si>
  <si>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</si>
  <si>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</si>
  <si>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</si>
  <si>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</si>
  <si>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</si>
  <si>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</si>
  <si>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</si>
  <si>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</si>
  <si>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</si>
  <si>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</si>
  <si>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</si>
  <si>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</si>
  <si>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</si>
  <si>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</si>
  <si>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</si>
  <si>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</si>
  <si>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</si>
  <si>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</si>
  <si>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</si>
  <si>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</si>
  <si>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</si>
  <si>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</si>
  <si>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</si>
  <si>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</si>
  <si>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</si>
  <si>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</si>
  <si>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</si>
  <si>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</si>
  <si>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</si>
  <si>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</si>
  <si>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</si>
  <si>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</si>
  <si>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</si>
  <si>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</si>
  <si>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</si>
  <si>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</si>
  <si>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</si>
  <si>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</si>
  <si>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</si>
  <si>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</si>
  <si>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</si>
  <si>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</si>
  <si>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</si>
  <si>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</si>
  <si>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</si>
  <si>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</si>
  <si>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</si>
  <si>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</si>
  <si>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</si>
  <si>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</si>
  <si>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</si>
  <si>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</si>
  <si>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</si>
  <si>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</si>
  <si>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</si>
  <si>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</si>
  <si>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</si>
  <si>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</si>
  <si>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</si>
  <si>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</si>
  <si>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</si>
  <si>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</si>
  <si>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</si>
  <si>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</si>
  <si>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</si>
  <si>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</si>
  <si>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</si>
  <si>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</si>
  <si>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</si>
  <si>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</si>
  <si>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</si>
  <si>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</si>
  <si>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</si>
  <si>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</si>
  <si>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</si>
  <si>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</si>
  <si>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</si>
  <si>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</si>
  <si>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</si>
  <si>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</si>
  <si>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</si>
  <si>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</si>
  <si>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</si>
  <si>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</si>
  <si>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</si>
  <si>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</si>
  <si>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</si>
  <si>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</si>
  <si>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</si>
  <si>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</si>
  <si>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</si>
  <si>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</si>
  <si>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</si>
  <si>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</si>
  <si>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</si>
  <si>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</si>
  <si>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</si>
  <si>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</si>
  <si>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</si>
  <si>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</si>
  <si>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</si>
  <si>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</si>
  <si>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</si>
  <si>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</si>
  <si>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</si>
  <si>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</si>
  <si>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</si>
  <si>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</si>
  <si>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</si>
  <si>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</si>
  <si>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</si>
  <si>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</si>
  <si>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</si>
  <si>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</si>
  <si>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</si>
  <si>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</si>
  <si>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</si>
  <si>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</si>
  <si>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</si>
  <si>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</si>
  <si>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</si>
  <si>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</si>
  <si>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</si>
  <si>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</si>
  <si>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</si>
  <si>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</si>
  <si>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</si>
  <si>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</si>
  <si>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</si>
  <si>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</si>
  <si>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</si>
  <si>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</si>
  <si>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</si>
  <si>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</si>
  <si>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</si>
  <si>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</si>
  <si>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</si>
  <si>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</si>
  <si>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</si>
  <si>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</si>
  <si>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</si>
  <si>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</si>
  <si>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</si>
  <si>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</si>
  <si>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</si>
  <si>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</si>
  <si>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</si>
  <si>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</si>
  <si>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</si>
  <si>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</si>
  <si>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</si>
  <si>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</si>
  <si>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</si>
  <si>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</si>
  <si>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</si>
  <si>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</si>
  <si>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</si>
  <si>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</si>
  <si>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</si>
  <si>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</si>
  <si>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</si>
  <si>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</si>
  <si>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</si>
  <si>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</si>
  <si>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</si>
  <si>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</si>
  <si>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</si>
  <si>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</si>
  <si>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</si>
  <si>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</si>
  <si>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</si>
  <si>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</si>
  <si>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</si>
  <si>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</si>
  <si>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</si>
  <si>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</si>
  <si>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</si>
  <si>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</si>
  <si>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</si>
  <si>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</si>
  <si>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</si>
  <si>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</si>
  <si>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</si>
  <si>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</si>
  <si>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</si>
  <si>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</si>
  <si>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</si>
  <si>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</si>
  <si>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</si>
  <si>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</si>
  <si>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</si>
  <si>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</si>
  <si>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</si>
  <si>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</si>
  <si>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</si>
  <si>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</si>
  <si>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</si>
  <si>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</si>
  <si>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</si>
  <si>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</si>
  <si>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</si>
  <si>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</si>
  <si>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</si>
  <si>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</si>
  <si>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</si>
  <si>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</si>
  <si>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</si>
  <si>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</si>
  <si>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</si>
  <si>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</si>
  <si>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</si>
  <si>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</si>
  <si>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</si>
  <si>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</si>
  <si>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</si>
  <si>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</si>
  <si>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</si>
  <si>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</si>
  <si>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</si>
  <si>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</si>
  <si>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</si>
  <si>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</si>
  <si>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</si>
  <si>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</si>
  <si>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</si>
  <si>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</si>
  <si>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</si>
  <si>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</si>
  <si>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</si>
  <si>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</si>
  <si>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</si>
  <si>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</si>
  <si>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</si>
  <si>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</si>
  <si>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</si>
  <si>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</si>
  <si>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</si>
  <si>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</si>
  <si>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</si>
  <si>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</si>
  <si>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</si>
  <si>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</si>
  <si>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</si>
  <si>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</si>
  <si>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</si>
  <si>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</si>
  <si>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</si>
  <si>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</si>
  <si>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</si>
  <si>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</si>
  <si>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</si>
  <si>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</si>
  <si>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</si>
  <si>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</si>
  <si>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</si>
  <si>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</si>
  <si>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</si>
  <si>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</si>
  <si>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</si>
  <si>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</si>
  <si>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</si>
  <si>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</si>
  <si>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</si>
  <si>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</si>
  <si>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</si>
  <si>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</si>
  <si>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</si>
  <si>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</si>
  <si>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</si>
  <si>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</si>
  <si>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</si>
  <si>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</si>
  <si>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</si>
  <si>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</si>
  <si>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</si>
  <si>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</si>
  <si>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</si>
  <si>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</si>
  <si>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</si>
  <si>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</si>
  <si>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</si>
  <si>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</si>
  <si>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</si>
  <si>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</si>
  <si>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</si>
  <si>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</si>
  <si>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</si>
  <si>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</si>
  <si>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</si>
  <si>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</si>
  <si>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</si>
  <si>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</si>
  <si>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</si>
  <si>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</si>
  <si>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</si>
  <si>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</si>
  <si>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</si>
  <si>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</si>
  <si>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</si>
  <si>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</si>
  <si>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</si>
  <si>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</si>
  <si>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</si>
  <si>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</si>
  <si>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</si>
  <si>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</si>
  <si>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</si>
  <si>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</si>
  <si>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</si>
  <si>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</si>
  <si>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</si>
  <si>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</si>
  <si>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</si>
  <si>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</si>
  <si>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</si>
  <si>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</si>
  <si>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</si>
  <si>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</si>
  <si>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</si>
  <si>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</si>
  <si>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</si>
  <si>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</si>
  <si>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</si>
  <si>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</si>
  <si>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</si>
  <si>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</si>
  <si>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</si>
  <si>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</si>
  <si>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</si>
  <si>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</si>
  <si>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</si>
  <si>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</si>
  <si>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</si>
  <si>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</si>
  <si>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</si>
  <si>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</si>
  <si>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</si>
  <si>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</si>
  <si>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</si>
  <si>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</si>
  <si>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</si>
  <si>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</si>
  <si>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</si>
  <si>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</si>
  <si>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</si>
  <si>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</si>
  <si>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</si>
  <si>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</si>
  <si>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</si>
  <si>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</si>
  <si>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</si>
  <si>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</si>
  <si>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</si>
  <si>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</si>
  <si>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</si>
  <si>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</si>
  <si>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</si>
  <si>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</si>
  <si>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</si>
  <si>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</si>
  <si>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</si>
  <si>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</si>
  <si>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</si>
  <si>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</si>
  <si>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</si>
  <si>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</si>
  <si>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</si>
  <si>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</si>
  <si>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</si>
  <si>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</si>
  <si>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</si>
  <si>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</si>
  <si>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</si>
  <si>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</si>
  <si>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</si>
  <si>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</si>
  <si>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</si>
  <si>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</si>
  <si>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</si>
  <si>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</si>
  <si>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</si>
  <si>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</si>
  <si>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</si>
  <si>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</si>
  <si>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</si>
  <si>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</si>
  <si>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</si>
  <si>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</si>
  <si>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</si>
  <si>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</si>
  <si>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</si>
  <si>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</si>
  <si>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</si>
  <si>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</si>
  <si>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</si>
  <si>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</si>
  <si>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</si>
  <si>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</si>
  <si>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</si>
  <si>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</si>
  <si>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</si>
  <si>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</si>
  <si>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</si>
  <si>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</si>
  <si>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</si>
  <si>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</si>
  <si>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</si>
  <si>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</si>
  <si>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</si>
  <si>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</si>
  <si>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</si>
  <si>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</si>
  <si>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</si>
  <si>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</si>
  <si>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</si>
  <si>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</si>
  <si>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</si>
  <si>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</si>
  <si>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</si>
  <si>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</si>
  <si>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</si>
  <si>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</si>
  <si>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</si>
  <si>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</si>
  <si>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</si>
  <si>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</si>
  <si>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</si>
  <si>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</si>
  <si>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</si>
  <si>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</si>
  <si>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</si>
  <si>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</si>
  <si>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</si>
  <si>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</si>
  <si>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</si>
  <si>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</si>
  <si>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</si>
  <si>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</si>
  <si>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</si>
  <si>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</si>
  <si>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</si>
  <si>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</si>
  <si>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</si>
  <si>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</si>
  <si>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</si>
  <si>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</si>
  <si>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</si>
  <si>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</si>
  <si>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</si>
  <si>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</si>
  <si>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</si>
  <si>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</si>
  <si>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</si>
  <si>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</si>
  <si>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</si>
  <si>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</si>
  <si>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</si>
  <si>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</si>
  <si>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</si>
  <si>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</si>
  <si>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</si>
  <si>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</si>
  <si>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</si>
  <si>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</si>
  <si>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</si>
  <si>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</si>
  <si>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</si>
  <si>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</si>
  <si>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</si>
  <si>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</si>
  <si>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</si>
  <si>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</si>
  <si>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</si>
  <si>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</si>
  <si>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</si>
  <si>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</si>
  <si>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</si>
  <si>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</si>
  <si>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</si>
  <si>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</si>
  <si>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</si>
  <si>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</si>
  <si>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</si>
  <si>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</si>
  <si>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</si>
  <si>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</si>
  <si>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</si>
  <si>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</si>
  <si>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</si>
  <si>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</si>
  <si>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</si>
  <si>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</si>
  <si>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</si>
  <si>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</si>
  <si>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</si>
  <si>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</si>
  <si>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</si>
  <si>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</si>
  <si>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</si>
  <si>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</si>
  <si>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</si>
  <si>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</si>
  <si>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</si>
  <si>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</si>
  <si>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</si>
  <si>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</si>
  <si>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</si>
  <si>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</si>
  <si>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</si>
  <si>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</si>
  <si>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</si>
  <si>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</si>
  <si>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</si>
  <si>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</si>
  <si>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</si>
  <si>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</si>
  <si>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</si>
  <si>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</si>
  <si>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</si>
  <si>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</si>
  <si>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</si>
  <si>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</si>
  <si>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</si>
  <si>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</si>
  <si>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</si>
  <si>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</si>
  <si>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</si>
  <si>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</si>
  <si>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</si>
  <si>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</si>
  <si>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</si>
  <si>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</si>
  <si>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</si>
  <si>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</si>
  <si>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</si>
  <si>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</si>
  <si>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</si>
  <si>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</si>
  <si>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</si>
  <si>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</si>
  <si>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</si>
  <si>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</si>
  <si>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</si>
  <si>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</si>
  <si>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</si>
  <si>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</si>
  <si>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</si>
  <si>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</si>
  <si>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</si>
  <si>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</si>
  <si>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</si>
  <si>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</si>
  <si>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</si>
  <si>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</si>
  <si>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</si>
  <si>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</si>
  <si>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</si>
  <si>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</si>
  <si>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</si>
  <si>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</si>
  <si>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</si>
  <si>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</si>
  <si>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</si>
  <si>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</si>
  <si>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</si>
  <si>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</si>
  <si>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</si>
  <si>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</si>
  <si>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</si>
  <si>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</si>
  <si>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</si>
  <si>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</si>
  <si>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</si>
  <si>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</si>
  <si>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</si>
  <si>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</si>
  <si>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</si>
  <si>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</si>
  <si>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</si>
  <si>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</si>
  <si>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</si>
  <si>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</si>
  <si>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</si>
  <si>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</si>
  <si>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</si>
  <si>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</si>
  <si>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</si>
  <si>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</si>
  <si>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</si>
  <si>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</si>
  <si>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</si>
  <si>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</si>
  <si>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</si>
  <si>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</si>
  <si>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</si>
  <si>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</si>
  <si>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</si>
  <si>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</si>
  <si>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</si>
  <si>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</si>
  <si>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</si>
  <si>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</si>
  <si>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</si>
  <si>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</si>
  <si>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</si>
  <si>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</si>
  <si>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</si>
  <si>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</si>
  <si>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</si>
  <si>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</si>
  <si>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</si>
  <si>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</si>
  <si>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</si>
  <si>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</si>
  <si>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</si>
  <si>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</si>
  <si>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</si>
  <si>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</si>
  <si>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</si>
  <si>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</si>
  <si>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</si>
  <si>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</si>
  <si>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</si>
  <si>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</si>
  <si>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</si>
  <si>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</si>
  <si>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</si>
  <si>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</si>
  <si>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</si>
  <si>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</si>
  <si>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</si>
  <si>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</si>
  <si>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</si>
  <si>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</si>
  <si>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</si>
  <si>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</si>
  <si>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</si>
  <si>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</si>
  <si>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</si>
  <si>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</si>
  <si>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</si>
  <si>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</si>
  <si>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</si>
  <si>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</si>
  <si>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</si>
  <si>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</si>
  <si>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</si>
  <si>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</si>
  <si>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</si>
  <si>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</si>
  <si>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</si>
  <si>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</si>
  <si>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</si>
  <si>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</si>
  <si>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</si>
  <si>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</si>
  <si>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</si>
  <si>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</si>
  <si>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</si>
  <si>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</si>
  <si>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</si>
  <si>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</si>
  <si>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</si>
  <si>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</si>
  <si>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</si>
  <si>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</si>
  <si>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</si>
  <si>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</si>
  <si>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</si>
  <si>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</si>
  <si>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</si>
  <si>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</si>
  <si>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</si>
  <si>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</si>
  <si>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</si>
  <si>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</si>
  <si>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</si>
  <si>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</si>
  <si>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</si>
  <si>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</si>
  <si>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</si>
  <si>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</si>
  <si>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</si>
  <si>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</si>
  <si>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</si>
  <si>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</si>
  <si>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</si>
  <si>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</si>
  <si>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</si>
  <si>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</si>
  <si>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</si>
  <si>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</si>
  <si>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</si>
  <si>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</si>
  <si>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</si>
  <si>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</si>
  <si>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</si>
  <si>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</si>
  <si>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</si>
  <si>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</si>
  <si>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</si>
  <si>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</si>
  <si>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</si>
  <si>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</si>
  <si>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</si>
  <si>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</si>
  <si>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</si>
  <si>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</si>
  <si>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</si>
  <si>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</si>
  <si>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</si>
  <si>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</si>
  <si>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</si>
  <si>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</si>
  <si>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</si>
  <si>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</si>
  <si>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</si>
  <si>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</si>
  <si>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</si>
  <si>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</si>
  <si>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</si>
  <si>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</si>
  <si>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</si>
  <si>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</si>
  <si>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</si>
  <si>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</si>
  <si>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</si>
  <si>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</si>
  <si>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</si>
  <si>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</si>
  <si>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</si>
  <si>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</si>
  <si>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</si>
  <si>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</si>
  <si>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</si>
  <si>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</si>
  <si>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</si>
  <si>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</si>
  <si>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</si>
  <si>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</si>
  <si>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</si>
  <si>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</si>
  <si>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</si>
  <si>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</si>
  <si>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</si>
  <si>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</si>
  <si>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</si>
  <si>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</si>
  <si>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</si>
  <si>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</si>
  <si>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</si>
  <si>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</si>
  <si>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</si>
  <si>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</si>
  <si>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</si>
  <si>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</si>
  <si>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</si>
  <si>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</si>
  <si>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</si>
  <si>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</si>
  <si>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</si>
  <si>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</si>
  <si>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</si>
  <si>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</si>
  <si>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</si>
  <si>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</si>
  <si>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</si>
  <si>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</si>
  <si>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</si>
  <si>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</si>
  <si>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</si>
  <si>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</si>
  <si>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</si>
  <si>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</si>
  <si>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</si>
  <si>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</si>
  <si>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</si>
  <si>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</si>
  <si>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</si>
  <si>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</si>
  <si>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</si>
  <si>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</si>
  <si>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</si>
  <si>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</si>
  <si>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</si>
  <si>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</si>
  <si>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</si>
  <si>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</si>
  <si>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</si>
  <si>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</si>
  <si>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</si>
  <si>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</si>
  <si>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</si>
  <si>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</si>
  <si>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</si>
  <si>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</si>
  <si>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</si>
  <si>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</si>
  <si>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</si>
  <si>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</si>
  <si>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</si>
  <si>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</si>
  <si>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</si>
  <si>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</si>
  <si>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</si>
  <si>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</si>
  <si>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</si>
  <si>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</si>
  <si>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</si>
  <si>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</si>
  <si>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</si>
  <si>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</si>
  <si>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</si>
  <si>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</si>
  <si>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</si>
  <si>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</si>
  <si>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</si>
  <si>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</si>
  <si>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</si>
  <si>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</si>
  <si>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</si>
  <si>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</si>
  <si>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</si>
  <si>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</si>
  <si>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</si>
  <si>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</si>
  <si>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</si>
  <si>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</si>
  <si>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</si>
  <si>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</si>
  <si>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</si>
  <si>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</si>
  <si>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</si>
  <si>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</si>
  <si>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</si>
  <si>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</si>
  <si>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</si>
  <si>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</si>
  <si>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</si>
  <si>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</si>
  <si>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</si>
  <si>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</si>
  <si>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</si>
  <si>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</si>
  <si>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</si>
  <si>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</si>
  <si>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</si>
  <si>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</si>
  <si>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</si>
  <si>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</si>
  <si>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</si>
  <si>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</si>
  <si>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</si>
  <si>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</si>
  <si>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</si>
  <si>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</si>
  <si>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</si>
  <si>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</si>
  <si>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</si>
  <si>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</si>
  <si>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</si>
  <si>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</si>
  <si>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</si>
  <si>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</si>
  <si>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</si>
  <si>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</si>
  <si>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</si>
  <si>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</si>
  <si>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</si>
  <si>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</si>
  <si>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</si>
  <si>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</si>
  <si>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</si>
  <si>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</si>
  <si>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</si>
  <si>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</si>
  <si>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</si>
  <si>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</si>
  <si>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</si>
  <si>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</si>
  <si>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</si>
  <si>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</si>
  <si>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</si>
  <si>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</si>
  <si>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</si>
  <si>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</si>
  <si>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</si>
  <si>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</si>
  <si>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</si>
  <si>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</si>
  <si>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</si>
  <si>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</si>
  <si>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</si>
  <si>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</si>
  <si>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</si>
  <si>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</si>
  <si>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</si>
  <si>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</si>
  <si>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</si>
  <si>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</si>
  <si>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</si>
  <si>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</si>
  <si>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</si>
  <si>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</si>
  <si>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</si>
  <si>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</si>
  <si>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</si>
  <si>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</si>
  <si>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</si>
  <si>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</si>
  <si>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</si>
  <si>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</si>
  <si>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</si>
  <si>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</si>
  <si>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</si>
  <si>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</si>
  <si>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</si>
  <si>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</si>
  <si>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</si>
  <si>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</si>
  <si>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</si>
  <si>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</si>
  <si>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</si>
  <si>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</si>
  <si>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</si>
  <si>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</si>
  <si>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</si>
  <si>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</si>
  <si>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</si>
  <si>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</si>
  <si>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</si>
  <si>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</si>
  <si>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</si>
  <si>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</si>
  <si>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</si>
  <si>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</si>
  <si>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</si>
  <si>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</si>
  <si>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</si>
  <si>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</si>
  <si>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</si>
  <si>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</si>
  <si>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</si>
  <si>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</si>
  <si>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</si>
  <si>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</si>
  <si>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</si>
  <si>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</si>
  <si>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</si>
  <si>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</si>
  <si>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</si>
  <si>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</si>
  <si>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</si>
  <si>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</si>
  <si>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</si>
  <si>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</si>
  <si>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</si>
  <si>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</si>
  <si>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</si>
  <si>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</si>
  <si>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</si>
  <si>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</si>
  <si>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</si>
  <si>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</si>
  <si>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</si>
  <si>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</si>
  <si>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</si>
  <si>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</si>
  <si>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</si>
  <si>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</si>
  <si>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</si>
  <si>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</si>
  <si>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</si>
  <si>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</si>
  <si>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</si>
  <si>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</si>
  <si>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</si>
  <si>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</si>
  <si>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</si>
  <si>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</si>
  <si>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</si>
  <si>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</si>
  <si>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</si>
  <si>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</si>
  <si>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</si>
  <si>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</si>
  <si>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</si>
  <si>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</si>
  <si>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</si>
  <si>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</si>
  <si>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</si>
  <si>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</si>
  <si>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</si>
  <si>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</si>
  <si>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</si>
  <si>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</si>
  <si>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</si>
  <si>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</si>
  <si>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</si>
  <si>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</si>
  <si>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</si>
  <si>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</si>
  <si>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</si>
  <si>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</si>
  <si>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</si>
  <si>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</si>
  <si>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</si>
  <si>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</si>
  <si>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</si>
  <si>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</si>
  <si>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</si>
  <si>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</si>
  <si>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</si>
  <si>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</si>
  <si>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</si>
  <si>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</si>
  <si>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</si>
  <si>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</si>
  <si>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</si>
  <si>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</si>
  <si>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</si>
  <si>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</si>
  <si>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</si>
  <si>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</si>
  <si>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</si>
  <si>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</si>
  <si>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</si>
  <si>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</si>
  <si>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</si>
  <si>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</si>
  <si>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</si>
  <si>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</si>
  <si>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</si>
  <si>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</si>
  <si>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</si>
  <si>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</si>
  <si>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</si>
  <si>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</si>
  <si>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</si>
  <si>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</si>
  <si>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</si>
  <si>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</si>
  <si>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</si>
  <si>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</si>
  <si>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</si>
  <si>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</si>
  <si>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</si>
  <si>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</si>
  <si>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</si>
  <si>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</si>
  <si>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</si>
  <si>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</si>
  <si>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</si>
  <si>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</si>
  <si>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</si>
  <si>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</si>
  <si>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</si>
  <si>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</si>
  <si>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</si>
  <si>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</si>
  <si>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</si>
  <si>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</si>
  <si>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</si>
  <si>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</si>
  <si>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</si>
  <si>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</si>
  <si>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</si>
  <si>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</si>
  <si>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</si>
  <si>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</si>
  <si>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</si>
  <si>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</si>
  <si>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</si>
  <si>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</si>
  <si>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</si>
  <si>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</si>
  <si>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</si>
  <si>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</si>
  <si>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</si>
  <si>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</si>
  <si>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</si>
  <si>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</si>
  <si>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</si>
  <si>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</si>
  <si>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</si>
  <si>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</si>
  <si>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</si>
  <si>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</si>
  <si>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</si>
  <si>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</si>
  <si>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</si>
  <si>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</si>
  <si>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</si>
  <si>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</si>
  <si>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</si>
  <si>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</si>
  <si>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</si>
  <si>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</si>
  <si>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</si>
  <si>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</si>
  <si>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</si>
  <si>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</si>
  <si>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</si>
  <si>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</si>
  <si>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</si>
  <si>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</si>
  <si>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</si>
  <si>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</si>
  <si>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</si>
  <si>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</si>
  <si>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</si>
  <si>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</si>
  <si>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</si>
  <si>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</si>
  <si>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</si>
  <si>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</si>
  <si>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</si>
  <si>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</si>
  <si>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</si>
  <si>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</si>
  <si>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</si>
  <si>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</si>
  <si>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</si>
  <si>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</si>
  <si>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</si>
  <si>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</si>
  <si>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</si>
  <si>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</si>
  <si>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</si>
  <si>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</si>
  <si>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</si>
  <si>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</si>
  <si>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</si>
  <si>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</si>
  <si>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</si>
  <si>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</si>
  <si>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</si>
  <si>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</si>
  <si>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</si>
  <si>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</si>
  <si>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</si>
  <si>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</si>
  <si>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</si>
  <si>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</si>
  <si>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</si>
  <si>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</si>
  <si>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</si>
  <si>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</si>
  <si>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</si>
  <si>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</si>
  <si>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</si>
  <si>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</si>
  <si>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</si>
  <si>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</si>
  <si>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</si>
  <si>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</si>
  <si>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</si>
  <si>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</si>
  <si>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</si>
  <si>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</si>
  <si>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</si>
  <si>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</si>
  <si>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</si>
  <si>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</si>
  <si>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</si>
  <si>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</si>
  <si>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</si>
  <si>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</si>
  <si>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</si>
  <si>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</si>
  <si>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</si>
  <si>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</si>
  <si>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</si>
  <si>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</si>
  <si>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</si>
  <si>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</si>
  <si>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</si>
  <si>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</si>
  <si>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</si>
  <si>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</si>
  <si>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</si>
  <si>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</si>
  <si>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</si>
  <si>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</si>
  <si>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</si>
  <si>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</si>
  <si>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</si>
  <si>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</si>
  <si>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</si>
  <si>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</si>
  <si>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</si>
  <si>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</si>
  <si>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</si>
  <si>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</si>
  <si>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</si>
  <si>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</si>
  <si>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</si>
  <si>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</si>
  <si>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</si>
  <si>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</si>
  <si>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</si>
  <si>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</si>
  <si>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</si>
  <si>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</si>
  <si>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</si>
  <si>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</si>
  <si>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</si>
  <si>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</si>
  <si>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</si>
  <si>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</si>
  <si>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</si>
  <si>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</si>
  <si>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</si>
  <si>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</si>
  <si>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</si>
  <si>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</si>
  <si>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</si>
  <si>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</si>
  <si>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</si>
  <si>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</si>
  <si>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</si>
  <si>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</si>
  <si>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</si>
  <si>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</si>
  <si>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</si>
  <si>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</si>
  <si>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</si>
  <si>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</si>
  <si>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</si>
  <si>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</si>
  <si>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</si>
  <si>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</si>
  <si>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</si>
  <si>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</si>
  <si>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</si>
  <si>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</si>
  <si>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</si>
  <si>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</si>
  <si>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</si>
  <si>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</si>
  <si>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</si>
  <si>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</si>
  <si>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</si>
  <si>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</si>
  <si>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</si>
  <si>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</si>
  <si>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</si>
  <si>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</si>
  <si>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</si>
  <si>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</si>
  <si>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</si>
  <si>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</si>
  <si>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</si>
  <si>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</si>
  <si>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</si>
  <si>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</si>
  <si>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</si>
  <si>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</si>
  <si>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</si>
  <si>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</si>
  <si>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</si>
  <si>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</si>
  <si>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</si>
  <si>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</si>
  <si>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</si>
  <si>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</si>
  <si>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</si>
  <si>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</si>
  <si>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</si>
  <si>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</si>
  <si>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</si>
  <si>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</si>
  <si>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</si>
  <si>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</si>
  <si>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</si>
  <si>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</si>
  <si>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</si>
  <si>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</si>
  <si>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</si>
  <si>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</si>
  <si>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</si>
  <si>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</si>
  <si>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</si>
  <si>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</si>
  <si>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</si>
  <si>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</si>
  <si>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</si>
  <si>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</si>
  <si>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</si>
  <si>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</si>
  <si>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</si>
  <si>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</si>
  <si>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</si>
  <si>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</si>
  <si>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</si>
  <si>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</si>
  <si>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</si>
  <si>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</si>
  <si>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</si>
  <si>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</si>
  <si>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</si>
  <si>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</si>
  <si>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</si>
  <si>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</si>
  <si>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</si>
  <si>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</si>
  <si>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</si>
  <si>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</si>
  <si>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</si>
  <si>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</si>
  <si>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</si>
  <si>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</si>
  <si>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</si>
  <si>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</si>
  <si>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</si>
  <si>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</si>
  <si>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</si>
  <si>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</si>
  <si>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</si>
  <si>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</si>
  <si>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</si>
  <si>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</si>
  <si>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</si>
  <si>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</si>
  <si>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</si>
  <si>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</si>
  <si>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</si>
  <si>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</si>
  <si>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</si>
  <si>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</si>
  <si>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</si>
  <si>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</si>
  <si>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</si>
  <si>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</si>
  <si>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</si>
  <si>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</si>
  <si>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</si>
  <si>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</si>
  <si>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</si>
  <si>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</si>
  <si>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</si>
  <si>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</si>
  <si>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</si>
  <si>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</si>
  <si>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</si>
  <si>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</si>
  <si>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</si>
  <si>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</si>
  <si>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</si>
  <si>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</si>
  <si>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</si>
  <si>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</si>
  <si>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</si>
  <si>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</si>
  <si>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</si>
  <si>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</si>
  <si>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</si>
  <si>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</si>
  <si>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</si>
  <si>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</si>
  <si>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</si>
  <si>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</si>
  <si>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</si>
  <si>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</si>
  <si>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</si>
  <si>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</si>
  <si>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</si>
  <si>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</si>
  <si>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</si>
  <si>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</si>
  <si>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</si>
  <si>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</si>
  <si>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</si>
  <si>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</si>
  <si>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</si>
  <si>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</si>
  <si>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</si>
  <si>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</si>
  <si>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</si>
  <si>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</si>
  <si>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</si>
  <si>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</si>
  <si>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</si>
  <si>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</si>
  <si>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</si>
  <si>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</si>
  <si>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</si>
  <si>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</si>
  <si>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</si>
  <si>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</si>
  <si>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</si>
  <si>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</si>
  <si>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</si>
  <si>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</si>
  <si>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</si>
  <si>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</si>
  <si>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</si>
  <si>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</si>
  <si>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</si>
  <si>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</si>
  <si>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</si>
  <si>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</si>
  <si>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</si>
  <si>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</si>
  <si>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</si>
  <si>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</si>
  <si>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</si>
  <si>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</si>
  <si>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</si>
  <si>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</si>
  <si>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</si>
  <si>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</si>
  <si>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</si>
  <si>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</si>
  <si>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</si>
  <si>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</si>
  <si>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</si>
  <si>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</si>
  <si>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</si>
  <si>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</si>
  <si>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</si>
  <si>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</si>
  <si>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</si>
  <si>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</si>
  <si>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</si>
  <si>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</si>
  <si>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</si>
  <si>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</si>
  <si>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</si>
  <si>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</si>
  <si>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</si>
  <si>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</si>
  <si>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</si>
  <si>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</si>
  <si>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</si>
  <si>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</si>
  <si>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</si>
  <si>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</si>
  <si>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</si>
  <si>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</si>
  <si>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</si>
  <si>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</si>
  <si>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</si>
  <si>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</si>
  <si>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</si>
  <si>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</si>
  <si>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</si>
  <si>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</si>
  <si>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</si>
  <si>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</si>
  <si>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</si>
  <si>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</si>
  <si>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</si>
  <si>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</si>
  <si>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</si>
  <si>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</si>
  <si>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</si>
  <si>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</si>
  <si>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</si>
  <si>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</si>
  <si>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</si>
  <si>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</si>
  <si>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</si>
  <si>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</si>
  <si>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</si>
  <si>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</si>
  <si>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</si>
  <si>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</si>
  <si>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</si>
  <si>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</si>
  <si>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</si>
  <si>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</si>
  <si>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</si>
  <si>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</si>
  <si>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</si>
  <si>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</si>
  <si>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</si>
  <si>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</si>
  <si>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</si>
  <si>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</si>
  <si>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</si>
  <si>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</si>
  <si>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</si>
  <si>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</si>
  <si>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</si>
  <si>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</si>
  <si>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</si>
  <si>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</si>
  <si>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</si>
  <si>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</si>
  <si>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</si>
  <si>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</si>
  <si>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</si>
  <si>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</si>
  <si>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</si>
  <si>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</si>
  <si>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</si>
  <si>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</si>
  <si>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</si>
  <si>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</si>
  <si>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</si>
  <si>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</si>
  <si>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</si>
  <si>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</si>
  <si>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</si>
  <si>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</si>
  <si>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</si>
  <si>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</si>
  <si>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</si>
  <si>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</si>
  <si>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</si>
  <si>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</si>
  <si>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</si>
  <si>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</si>
  <si>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</si>
  <si>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</si>
  <si>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</si>
  <si>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</si>
  <si>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</si>
  <si>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</si>
  <si>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</si>
  <si>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</si>
  <si>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</si>
  <si>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</si>
  <si>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</si>
  <si>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</si>
  <si>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</si>
  <si>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</si>
  <si>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</si>
  <si>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</si>
  <si>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</si>
  <si>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</si>
  <si>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</si>
  <si>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</si>
  <si>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</si>
  <si>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</si>
  <si>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</si>
  <si>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</si>
  <si>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</si>
  <si>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</si>
  <si>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</si>
  <si>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</si>
  <si>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</si>
  <si>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</si>
  <si>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</si>
  <si>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</si>
  <si>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</si>
  <si>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</si>
  <si>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</si>
  <si>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</si>
  <si>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</si>
  <si>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</si>
  <si>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</si>
  <si>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</si>
  <si>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</si>
  <si>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</si>
  <si>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</si>
  <si>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</si>
  <si>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</si>
  <si>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</si>
  <si>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</si>
  <si>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</si>
  <si>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</si>
  <si>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</si>
  <si>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</si>
  <si>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</si>
  <si>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</si>
  <si>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</si>
  <si>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</si>
  <si>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</si>
  <si>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</si>
  <si>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</si>
  <si>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</si>
  <si>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</si>
  <si>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</si>
  <si>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</si>
  <si>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</si>
  <si>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</si>
  <si>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</si>
  <si>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</si>
  <si>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</si>
  <si>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</si>
  <si>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</si>
  <si>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</si>
  <si>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</si>
  <si>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</si>
  <si>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</si>
  <si>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</si>
  <si>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</si>
  <si>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</si>
  <si>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</si>
  <si>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</si>
  <si>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</si>
  <si>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</si>
  <si>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</si>
  <si>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</si>
  <si>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</si>
  <si>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</si>
  <si>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</si>
  <si>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</si>
  <si>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</si>
  <si>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</si>
  <si>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</si>
  <si>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</si>
  <si>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</si>
  <si>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</si>
  <si>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</si>
  <si>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</si>
  <si>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</si>
  <si>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</si>
  <si>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</si>
  <si>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</si>
  <si>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</si>
  <si>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</si>
  <si>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</si>
  <si>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</si>
  <si>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</si>
  <si>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</si>
  <si>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</si>
  <si>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</si>
  <si>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</si>
  <si>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</si>
  <si>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</si>
  <si>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</si>
  <si>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</si>
  <si>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</si>
  <si>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</si>
  <si>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</si>
  <si>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</si>
  <si>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</si>
  <si>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</si>
  <si>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</si>
  <si>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</si>
  <si>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</si>
  <si>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</si>
  <si>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</si>
  <si>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</si>
  <si>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</si>
  <si>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</si>
  <si>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</si>
  <si>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</si>
  <si>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</si>
  <si>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</si>
  <si>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</si>
  <si>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</si>
  <si>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</si>
  <si>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</si>
  <si>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</si>
  <si>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</si>
  <si>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</si>
  <si>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</si>
  <si>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</si>
  <si>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</si>
  <si>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</si>
  <si>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</si>
  <si>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</si>
  <si>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</si>
  <si>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</si>
  <si>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</si>
  <si>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</si>
  <si>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</si>
  <si>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</si>
  <si>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</si>
  <si>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</si>
  <si>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</si>
  <si>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</si>
  <si>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</si>
  <si>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</si>
  <si>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</si>
  <si>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</si>
  <si>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</si>
  <si>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</si>
  <si>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</si>
  <si>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</si>
  <si>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</si>
  <si>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</si>
  <si>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</si>
  <si>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</si>
  <si>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</si>
  <si>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</si>
  <si>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</si>
  <si>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</si>
  <si>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</si>
  <si>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</si>
  <si>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</si>
  <si>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</si>
  <si>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</si>
  <si>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</si>
  <si>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</si>
  <si>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</si>
  <si>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</si>
  <si>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</si>
  <si>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</si>
  <si>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</si>
  <si>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</si>
  <si>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</si>
  <si>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</si>
  <si>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</si>
  <si>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</si>
  <si>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</si>
  <si>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</si>
  <si>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</si>
  <si>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</si>
  <si>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</si>
  <si>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</si>
  <si>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</si>
  <si>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</si>
  <si>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</si>
  <si>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</si>
  <si>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</si>
  <si>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</si>
  <si>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</si>
  <si>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</si>
  <si>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</si>
  <si>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</si>
  <si>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</si>
  <si>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</si>
  <si>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</si>
  <si>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</si>
  <si>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</si>
  <si>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</si>
  <si>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</si>
  <si>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</si>
  <si>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</si>
  <si>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</si>
  <si>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</si>
  <si>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</si>
  <si>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</si>
  <si>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</si>
  <si>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</si>
  <si>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</si>
  <si>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</si>
  <si>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</si>
  <si>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</si>
  <si>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</si>
  <si>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</si>
  <si>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</si>
  <si>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</si>
  <si>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</si>
  <si>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</si>
  <si>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</si>
  <si>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</si>
  <si>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</si>
  <si>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</si>
  <si>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</si>
  <si>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</si>
  <si>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</si>
  <si>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</si>
  <si>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</si>
  <si>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</si>
  <si>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</si>
  <si>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</si>
  <si>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</si>
  <si>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</si>
  <si>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</si>
  <si>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</si>
  <si>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</si>
  <si>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</si>
  <si>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</si>
  <si>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</si>
  <si>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</si>
  <si>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</si>
  <si>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</si>
  <si>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</si>
  <si>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</si>
  <si>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</si>
  <si>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</si>
  <si>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</si>
  <si>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</si>
  <si>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</si>
  <si>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</si>
  <si>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</si>
  <si>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</si>
  <si>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</si>
  <si>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</si>
  <si>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</si>
  <si>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</si>
  <si>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</si>
  <si>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</si>
  <si>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</si>
  <si>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</si>
  <si>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</si>
  <si>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</si>
  <si>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</si>
  <si>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</si>
  <si>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</si>
  <si>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</si>
  <si>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</si>
  <si>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</si>
  <si>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</si>
  <si>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</si>
  <si>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</si>
  <si>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</si>
  <si>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</si>
  <si>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</si>
  <si>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</si>
  <si>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</si>
  <si>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</si>
  <si>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</si>
  <si>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</si>
  <si>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</si>
  <si>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</si>
  <si>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</si>
  <si>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</si>
  <si>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</si>
  <si>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</si>
  <si>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</si>
  <si>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</si>
  <si>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</si>
  <si>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</si>
  <si>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</si>
  <si>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</si>
  <si>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</si>
  <si>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</si>
  <si>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</si>
  <si>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</si>
  <si>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</si>
  <si>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</si>
  <si>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</si>
  <si>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</si>
  <si>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</si>
  <si>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</si>
  <si>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</si>
  <si>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</si>
  <si>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</si>
  <si>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</si>
  <si>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</si>
  <si>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</si>
  <si>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</si>
  <si>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</si>
  <si>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</si>
  <si>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</si>
  <si>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</si>
  <si>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</si>
  <si>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</si>
  <si>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</si>
  <si>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</si>
  <si>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</si>
  <si>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</si>
  <si>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</si>
  <si>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</si>
  <si>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</si>
  <si>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</si>
  <si>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</si>
  <si>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</si>
  <si>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</si>
  <si>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</si>
  <si>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</si>
  <si>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</si>
  <si>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</si>
  <si>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</si>
  <si>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</si>
  <si>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</si>
  <si>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</si>
  <si>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</si>
  <si>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</si>
  <si>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</si>
  <si>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</si>
  <si>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</si>
  <si>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</si>
  <si>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</si>
  <si>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</si>
  <si>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</si>
  <si>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</si>
  <si>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</si>
  <si>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</si>
  <si>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</si>
  <si>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</si>
  <si>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</si>
  <si>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</si>
  <si>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</si>
  <si>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</si>
  <si>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</si>
  <si>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</si>
  <si>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</si>
  <si>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</si>
  <si>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</si>
  <si>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</si>
  <si>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</si>
  <si>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</si>
  <si>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</si>
  <si>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</si>
  <si>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</si>
  <si>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</si>
  <si>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</si>
  <si>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</si>
  <si>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</si>
  <si>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</si>
  <si>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</si>
  <si>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</si>
  <si>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</si>
  <si>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</si>
  <si>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</si>
  <si>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</si>
  <si>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</si>
  <si>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</si>
  <si>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</si>
  <si>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</si>
  <si>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</si>
  <si>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</si>
  <si>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</si>
  <si>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</si>
  <si>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</si>
  <si>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</si>
  <si>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</si>
  <si>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</si>
  <si>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</si>
  <si>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</si>
  <si>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</si>
  <si>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</si>
  <si>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</si>
  <si>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</si>
  <si>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</si>
  <si>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</si>
  <si>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</si>
  <si>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</si>
  <si>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</si>
  <si>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</si>
  <si>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</si>
  <si>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</si>
  <si>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</si>
  <si>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</si>
  <si>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</si>
  <si>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</si>
  <si>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</si>
  <si>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</si>
  <si>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</si>
  <si>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</si>
  <si>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</si>
  <si>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</si>
  <si>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</si>
  <si>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</si>
  <si>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</si>
  <si>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</si>
  <si>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</si>
  <si>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</si>
  <si>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</si>
  <si>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</si>
  <si>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</si>
  <si>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</si>
  <si>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</si>
  <si>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</si>
  <si>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</si>
  <si>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</si>
  <si>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</si>
  <si>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</si>
  <si>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</si>
  <si>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</si>
  <si>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</si>
  <si>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</si>
  <si>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</si>
  <si>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</si>
  <si>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</si>
  <si>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</si>
  <si>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</si>
  <si>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</si>
  <si>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</si>
  <si>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</si>
  <si>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</si>
  <si>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</si>
  <si>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</si>
  <si>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</si>
  <si>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</si>
  <si>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</si>
  <si>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</si>
  <si>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</si>
  <si>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</si>
  <si>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</si>
  <si>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</si>
  <si>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</si>
  <si>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</si>
  <si>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</si>
  <si>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</si>
  <si>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</si>
  <si>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</si>
  <si>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</si>
  <si>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</si>
  <si>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</si>
  <si>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</si>
  <si>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</si>
  <si>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</si>
  <si>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</si>
  <si>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</si>
  <si>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</si>
  <si>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</si>
  <si>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</si>
  <si>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</si>
  <si>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</si>
  <si>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</si>
  <si>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</si>
  <si>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</si>
  <si>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</si>
  <si>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</si>
  <si>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</si>
  <si>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</si>
  <si>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</si>
  <si>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</si>
  <si>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</si>
  <si>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</si>
  <si>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</si>
  <si>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</si>
  <si>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</si>
  <si>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</si>
  <si>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</si>
  <si>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</si>
  <si>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</si>
  <si>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</si>
  <si>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</si>
  <si>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</si>
  <si>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</si>
  <si>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</si>
  <si>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</si>
  <si>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</si>
  <si>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</si>
  <si>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</si>
  <si>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</si>
  <si>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</si>
  <si>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</si>
  <si>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</si>
  <si>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</si>
  <si>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</si>
  <si>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</si>
  <si>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</si>
  <si>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</si>
  <si>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</si>
  <si>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</si>
  <si>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</si>
  <si>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</si>
  <si>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</si>
  <si>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</si>
  <si>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</si>
  <si>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</si>
  <si>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</si>
  <si>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</si>
  <si>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</si>
  <si>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</si>
  <si>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</si>
  <si>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</si>
  <si>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</si>
  <si>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</si>
  <si>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</si>
  <si>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</si>
  <si>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</si>
  <si>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</si>
  <si>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</si>
  <si>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</si>
  <si>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</si>
  <si>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</si>
  <si>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</si>
  <si>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</si>
  <si>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</si>
  <si>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</si>
  <si>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</si>
  <si>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</si>
  <si>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</si>
  <si>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</si>
  <si>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</si>
  <si>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</si>
  <si>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</si>
  <si>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</si>
  <si>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</si>
  <si>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</si>
  <si>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</si>
  <si>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</si>
  <si>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</si>
  <si>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</si>
  <si>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</si>
  <si>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</si>
  <si>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</si>
  <si>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</si>
  <si>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</si>
  <si>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</si>
  <si>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</si>
  <si>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</si>
  <si>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</si>
  <si>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</si>
  <si>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</si>
  <si>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</si>
  <si>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</si>
  <si>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</si>
  <si>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</si>
  <si>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</si>
  <si>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</si>
  <si>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</si>
  <si>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</si>
  <si>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</si>
  <si>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</si>
  <si>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</si>
  <si>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</si>
  <si>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</si>
  <si>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</si>
  <si>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</si>
  <si>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</si>
  <si>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</si>
  <si>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</si>
  <si>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</si>
  <si>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</si>
  <si>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</si>
  <si>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</si>
  <si>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</si>
  <si>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</si>
  <si>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</si>
  <si>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</si>
  <si>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</si>
  <si>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</si>
  <si>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</si>
  <si>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</si>
  <si>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</si>
  <si>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</si>
  <si>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</si>
  <si>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</si>
  <si>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</si>
  <si>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</si>
  <si>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</si>
  <si>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</si>
  <si>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</si>
  <si>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</si>
  <si>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</si>
  <si>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</si>
  <si>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</si>
  <si>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</si>
  <si>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</si>
  <si>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</si>
  <si>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</si>
  <si>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</si>
  <si>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</si>
  <si>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</si>
  <si>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</si>
  <si>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</si>
  <si>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</si>
  <si>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</si>
  <si>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</si>
  <si>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</si>
  <si>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</si>
  <si>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</si>
  <si>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</si>
  <si>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</si>
  <si>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</si>
  <si>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</si>
  <si>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</si>
  <si>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</si>
  <si>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</si>
  <si>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</si>
  <si>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</si>
  <si>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</si>
  <si>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</si>
  <si>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</si>
  <si>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</si>
  <si>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</si>
  <si>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</si>
  <si>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</si>
  <si>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</si>
  <si>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</si>
  <si>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</si>
  <si>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</si>
  <si>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</si>
  <si>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</si>
  <si>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</si>
  <si>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</si>
  <si>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</si>
  <si>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</si>
  <si>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</si>
  <si>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</si>
  <si>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</si>
  <si>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</si>
  <si>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</si>
  <si>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</si>
  <si>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</si>
  <si>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</si>
  <si>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</si>
  <si>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</si>
  <si>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</si>
  <si>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</si>
  <si>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</si>
  <si>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</si>
  <si>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</si>
  <si>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</si>
  <si>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</si>
  <si>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</si>
  <si>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</si>
  <si>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</si>
  <si>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</si>
  <si>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</si>
  <si>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</si>
  <si>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</si>
  <si>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</si>
  <si>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</si>
  <si>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</si>
  <si>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</si>
  <si>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</si>
  <si>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</si>
  <si>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</si>
  <si>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</si>
  <si>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</si>
  <si>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</si>
  <si>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</si>
  <si>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</si>
  <si>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</si>
  <si>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</si>
  <si>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</si>
  <si>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</si>
  <si>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</si>
  <si>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</si>
  <si>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</si>
  <si>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</si>
  <si>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</si>
  <si>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</si>
  <si>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</si>
  <si>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</si>
  <si>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</si>
  <si>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</si>
  <si>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</si>
  <si>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</si>
  <si>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</si>
  <si>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</si>
  <si>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</si>
  <si>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</si>
  <si>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</si>
  <si>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</si>
  <si>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</si>
  <si>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</si>
  <si>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</si>
  <si>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</si>
  <si>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</si>
  <si>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</si>
  <si>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</si>
  <si>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</si>
  <si>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</si>
  <si>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</si>
  <si>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</si>
  <si>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</si>
  <si>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</si>
  <si>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</si>
  <si>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</si>
  <si>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</si>
  <si>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</si>
  <si>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</si>
  <si>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</si>
  <si>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</si>
  <si>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</si>
  <si>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</si>
  <si>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</si>
  <si>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</si>
  <si>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</si>
  <si>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</si>
  <si>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</si>
  <si>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</si>
  <si>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</si>
  <si>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</si>
  <si>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</si>
  <si>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</si>
  <si>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</si>
  <si>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</si>
  <si>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</si>
  <si>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</si>
  <si>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</si>
  <si>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</si>
  <si>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</si>
  <si>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</si>
  <si>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</si>
  <si>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</si>
  <si>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</si>
  <si>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</si>
  <si>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</si>
  <si>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</si>
  <si>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</si>
  <si>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</si>
  <si>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</si>
  <si>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</si>
  <si>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</si>
  <si>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</si>
  <si>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</si>
  <si>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</si>
  <si>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</si>
  <si>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</si>
  <si>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</si>
  <si>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</si>
  <si>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</si>
  <si>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</si>
  <si>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</si>
  <si>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</si>
  <si>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</si>
  <si>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</si>
  <si>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</si>
  <si>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</si>
  <si>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</si>
  <si>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</si>
  <si>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</si>
  <si>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</si>
  <si>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</si>
  <si>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</si>
  <si>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</si>
  <si>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</si>
  <si>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</si>
  <si>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</si>
  <si>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</si>
  <si>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</si>
  <si>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</si>
  <si>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</si>
  <si>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</si>
  <si>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</si>
  <si>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</si>
  <si>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</si>
  <si>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</si>
  <si>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</si>
  <si>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</si>
  <si>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</si>
  <si>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</si>
  <si>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</si>
  <si>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</si>
  <si>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</si>
  <si>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</si>
  <si>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</si>
  <si>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</si>
  <si>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</si>
  <si>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</si>
  <si>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</si>
  <si>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</si>
  <si>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</si>
  <si>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</si>
  <si>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</si>
  <si>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</si>
  <si>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</si>
  <si>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</si>
  <si>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</si>
  <si>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</si>
  <si>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</si>
  <si>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</si>
  <si>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</si>
  <si>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</si>
  <si>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</si>
  <si>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</si>
  <si>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</si>
  <si>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</si>
  <si>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</si>
  <si>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</si>
  <si>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</si>
  <si>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</si>
  <si>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</si>
  <si>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</si>
  <si>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</si>
  <si>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</si>
  <si>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</si>
  <si>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</si>
  <si>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</si>
  <si>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</si>
  <si>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</si>
  <si>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</si>
  <si>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</si>
  <si>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</si>
  <si>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</si>
  <si>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</si>
  <si>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</si>
  <si>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</si>
  <si>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</si>
  <si>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</si>
  <si>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</si>
  <si>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</si>
  <si>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</si>
  <si>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</si>
  <si>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</si>
  <si>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</si>
  <si>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</si>
  <si>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</si>
  <si>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</si>
  <si>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</si>
  <si>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</si>
  <si>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</si>
  <si>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</si>
  <si>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</si>
  <si>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</si>
  <si>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</si>
  <si>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</si>
  <si>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</si>
  <si>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</si>
  <si>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</si>
  <si>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</si>
  <si>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</si>
  <si>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</si>
  <si>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</si>
  <si>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</si>
  <si>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</si>
  <si>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</si>
  <si>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</si>
  <si>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</si>
  <si>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</si>
  <si>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</si>
  <si>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</si>
  <si>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</si>
  <si>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</si>
  <si>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</si>
  <si>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</si>
  <si>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</si>
  <si>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</si>
  <si>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</si>
  <si>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</si>
  <si>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</si>
  <si>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</si>
  <si>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</si>
  <si>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</si>
  <si>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</si>
  <si>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</si>
  <si>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</si>
  <si>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</si>
  <si>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</si>
  <si>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</si>
  <si>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</si>
  <si>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</si>
  <si>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</si>
  <si>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</si>
  <si>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</si>
  <si>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</si>
  <si>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</si>
  <si>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</si>
  <si>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</si>
  <si>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</si>
  <si>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</si>
  <si>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</si>
  <si>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</si>
  <si>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</si>
  <si>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</si>
  <si>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</si>
  <si>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</si>
  <si>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</si>
  <si>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</si>
  <si>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</si>
  <si>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</si>
  <si>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</si>
  <si>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</si>
  <si>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</si>
  <si>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</si>
  <si>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</si>
  <si>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</si>
  <si>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</si>
  <si>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</si>
  <si>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</si>
  <si>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</si>
  <si>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</si>
  <si>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</si>
  <si>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</si>
  <si>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</si>
  <si>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</si>
  <si>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</si>
  <si>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</si>
  <si>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</si>
  <si>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</si>
  <si>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</si>
  <si>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</si>
  <si>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</si>
  <si>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</si>
  <si>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</si>
  <si>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</si>
  <si>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</si>
  <si>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</si>
  <si>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</si>
  <si>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</si>
  <si>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</si>
  <si>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</si>
  <si>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</si>
  <si>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</si>
  <si>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</si>
  <si>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</si>
  <si>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</si>
  <si>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</si>
  <si>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</si>
  <si>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</si>
  <si>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</si>
  <si>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</si>
  <si>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</si>
  <si>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</si>
  <si>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</si>
  <si>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</si>
  <si>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</si>
  <si>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</si>
  <si>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</si>
  <si>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</si>
  <si>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</si>
  <si>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</si>
  <si>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</si>
  <si>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</si>
  <si>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</si>
  <si>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</si>
  <si>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</si>
  <si>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</si>
  <si>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</si>
  <si>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</si>
  <si>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</si>
  <si>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</si>
  <si>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</si>
  <si>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</si>
  <si>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</si>
  <si>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</si>
  <si>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</si>
  <si>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</si>
  <si>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</si>
  <si>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</si>
  <si>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</si>
  <si>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</si>
  <si>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</si>
  <si>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</si>
  <si>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</si>
  <si>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</si>
  <si>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</si>
  <si>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</si>
  <si>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</si>
  <si>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</si>
  <si>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</si>
  <si>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</si>
  <si>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</si>
  <si>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</si>
  <si>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</si>
  <si>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</si>
  <si>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</si>
  <si>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</si>
  <si>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</si>
  <si>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</si>
  <si>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</si>
  <si>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</si>
  <si>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</si>
  <si>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</si>
  <si>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</si>
  <si>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</si>
  <si>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</si>
  <si>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</si>
  <si>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</si>
  <si>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</si>
  <si>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</si>
  <si>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</si>
  <si>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</si>
  <si>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</si>
  <si>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</si>
  <si>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</si>
  <si>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</si>
  <si>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</si>
  <si>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</si>
  <si>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</si>
  <si>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</si>
  <si>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</si>
  <si>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</si>
  <si>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</si>
  <si>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</si>
  <si>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</si>
  <si>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</si>
  <si>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</si>
  <si>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</si>
  <si>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</si>
  <si>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</si>
  <si>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</si>
  <si>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</si>
  <si>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</si>
  <si>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</si>
  <si>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</si>
  <si>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</si>
  <si>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</si>
  <si>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</si>
  <si>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</si>
  <si>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</si>
  <si>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</si>
  <si>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</si>
  <si>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</si>
  <si>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</si>
  <si>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</si>
  <si>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</si>
  <si>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</si>
  <si>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</si>
  <si>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</si>
  <si>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</si>
  <si>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</si>
  <si>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</si>
  <si>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</si>
  <si>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</si>
  <si>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</si>
  <si>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</si>
  <si>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</si>
  <si>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</si>
  <si>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</si>
  <si>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</si>
  <si>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</si>
  <si>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</si>
  <si>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</si>
  <si>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</si>
  <si>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</si>
  <si>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</si>
  <si>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</si>
  <si>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</si>
  <si>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</si>
  <si>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</si>
  <si>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</si>
  <si>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</si>
  <si>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</si>
  <si>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</si>
  <si>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</si>
  <si>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</si>
  <si>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</si>
  <si>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</si>
  <si>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</si>
  <si>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</si>
  <si>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</si>
  <si>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</si>
  <si>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</si>
  <si>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</si>
  <si>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</si>
  <si>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</si>
  <si>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</si>
  <si>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</si>
  <si>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</si>
  <si>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</si>
  <si>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</si>
  <si>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</si>
  <si>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</si>
  <si>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</si>
  <si>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</si>
  <si>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</si>
  <si>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</si>
  <si>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</si>
  <si>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</si>
  <si>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</si>
  <si>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</si>
  <si>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</si>
  <si>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</si>
  <si>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</si>
  <si>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</si>
  <si>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</si>
  <si>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</si>
  <si>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</si>
  <si>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</si>
  <si>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</si>
  <si>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</si>
  <si>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</si>
  <si>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</si>
  <si>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</si>
  <si>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</si>
  <si>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</si>
  <si>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</si>
  <si>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</si>
  <si>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</si>
  <si>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</si>
  <si>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</si>
  <si>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</si>
  <si>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</si>
  <si>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</si>
  <si>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</si>
  <si>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</si>
  <si>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</si>
  <si>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</si>
  <si>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</si>
  <si>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</si>
  <si>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</si>
  <si>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</si>
  <si>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</si>
  <si>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</si>
  <si>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</si>
  <si>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</si>
  <si>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</si>
  <si>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</si>
  <si>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</si>
  <si>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</si>
  <si>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</si>
  <si>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</si>
  <si>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</si>
  <si>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</si>
  <si>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</si>
  <si>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</si>
  <si>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</si>
  <si>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</si>
  <si>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</si>
  <si>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</si>
  <si>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</si>
  <si>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</si>
  <si>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</si>
  <si>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</si>
  <si>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</si>
  <si>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</si>
  <si>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</si>
  <si>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</si>
  <si>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</si>
  <si>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</si>
  <si>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</si>
  <si>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</si>
  <si>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</si>
  <si>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</si>
  <si>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</si>
  <si>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</si>
  <si>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</si>
  <si>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</si>
  <si>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</si>
  <si>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</si>
  <si>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</si>
  <si>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</si>
  <si>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</si>
  <si>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</si>
  <si>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</si>
  <si>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</si>
  <si>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</si>
  <si>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</si>
  <si>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</si>
  <si>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</si>
  <si>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</si>
  <si>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</si>
  <si>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</si>
  <si>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</si>
  <si>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</si>
  <si>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</si>
  <si>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</si>
  <si>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</si>
  <si>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</si>
  <si>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</si>
  <si>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</si>
  <si>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</si>
  <si>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</si>
  <si>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</si>
  <si>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</si>
  <si>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</si>
  <si>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</si>
  <si>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</si>
  <si>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</si>
  <si>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</si>
  <si>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</si>
  <si>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</si>
  <si>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</si>
  <si>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</si>
  <si>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</si>
  <si>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</si>
  <si>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</si>
  <si>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</si>
  <si>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</si>
  <si>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</si>
  <si>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</si>
  <si>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</si>
  <si>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</si>
  <si>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</si>
  <si>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</si>
  <si>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</si>
  <si>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</si>
  <si>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</si>
  <si>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</si>
  <si>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</si>
  <si>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</si>
  <si>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</si>
  <si>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</si>
  <si>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</si>
  <si>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</si>
  <si>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</si>
  <si>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</si>
  <si>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</si>
  <si>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</si>
  <si>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</si>
  <si>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</si>
  <si>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</si>
  <si>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</si>
  <si>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</si>
  <si>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</si>
  <si>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</si>
  <si>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</si>
  <si>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</si>
  <si>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</si>
  <si>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</si>
  <si>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</si>
  <si>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</si>
  <si>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</si>
  <si>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</si>
  <si>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</si>
  <si>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</si>
  <si>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</si>
  <si>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</si>
  <si>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</si>
  <si>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</si>
  <si>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</si>
  <si>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</si>
  <si>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</si>
  <si>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</si>
  <si>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</si>
  <si>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</si>
  <si>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</si>
  <si>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</si>
  <si>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</si>
  <si>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</si>
  <si>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</si>
  <si>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</si>
  <si>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</si>
  <si>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</si>
  <si>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</si>
  <si>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</si>
  <si>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</si>
  <si>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</si>
  <si>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</si>
  <si>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</si>
  <si>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</si>
  <si>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</si>
  <si>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</si>
  <si>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</si>
  <si>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</si>
  <si>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</si>
  <si>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</si>
  <si>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</si>
  <si>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</si>
  <si>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</si>
  <si>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</si>
  <si>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</si>
  <si>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</si>
  <si>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</si>
  <si>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</si>
  <si>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</si>
  <si>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</si>
  <si>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</si>
  <si>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</si>
  <si>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</si>
  <si>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</si>
  <si>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</si>
  <si>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</si>
  <si>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</si>
  <si>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</si>
  <si>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</si>
  <si>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</si>
  <si>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</si>
  <si>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</si>
  <si>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</si>
  <si>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</si>
  <si>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</si>
  <si>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</si>
  <si>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</si>
  <si>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</si>
  <si>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</si>
  <si>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</si>
  <si>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</si>
  <si>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</si>
  <si>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</si>
  <si>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</si>
  <si>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</si>
  <si>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</si>
  <si>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</si>
  <si>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</si>
  <si>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</si>
  <si>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</si>
  <si>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</si>
  <si>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</si>
  <si>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</si>
  <si>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</si>
  <si>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</si>
  <si>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</si>
  <si>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</si>
  <si>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</si>
  <si>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</si>
  <si>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</si>
  <si>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</si>
  <si>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</si>
  <si>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</si>
  <si>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</si>
  <si>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</si>
  <si>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</si>
  <si>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</si>
  <si>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</si>
  <si>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</si>
  <si>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</si>
  <si>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</si>
  <si>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</si>
  <si>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</si>
  <si>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</si>
  <si>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</si>
  <si>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</si>
  <si>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</si>
  <si>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</si>
  <si>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</si>
  <si>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</si>
  <si>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</si>
  <si>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</si>
  <si>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</si>
  <si>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</si>
  <si>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</si>
  <si>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</si>
  <si>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</si>
  <si>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</si>
  <si>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</si>
  <si>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</si>
  <si>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</si>
  <si>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</si>
  <si>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</si>
  <si>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</si>
  <si>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</si>
  <si>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</si>
  <si>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</si>
  <si>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</si>
  <si>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</si>
  <si>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</si>
  <si>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</si>
  <si>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</si>
  <si>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</si>
  <si>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</si>
  <si>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</si>
  <si>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</si>
  <si>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</si>
  <si>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</si>
  <si>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</si>
  <si>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</si>
  <si>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</si>
  <si>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</si>
  <si>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</si>
  <si>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</si>
  <si>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</si>
  <si>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</si>
  <si>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</si>
  <si>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</si>
  <si>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</si>
  <si>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</si>
  <si>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</si>
  <si>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</si>
  <si>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</si>
  <si>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</si>
  <si>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</si>
  <si>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</si>
  <si>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</si>
  <si>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</si>
  <si>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</si>
  <si>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</si>
  <si>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</si>
  <si>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</si>
  <si>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</si>
  <si>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</si>
  <si>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</si>
  <si>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</si>
  <si>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</si>
  <si>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</si>
  <si>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</si>
  <si>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</si>
  <si>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</si>
  <si>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</si>
  <si>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</si>
  <si>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</si>
  <si>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</si>
  <si>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</si>
  <si>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</si>
  <si>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</si>
  <si>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</si>
  <si>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</si>
  <si>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</si>
  <si>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</si>
  <si>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</si>
  <si>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</si>
  <si>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</si>
  <si>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</si>
  <si>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</si>
  <si>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</si>
  <si>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</si>
  <si>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</si>
  <si>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</si>
  <si>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</si>
  <si>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</si>
  <si>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</si>
  <si>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</si>
  <si>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</si>
  <si>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</si>
  <si>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</si>
  <si>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</si>
  <si>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</si>
  <si>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</si>
  <si>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</si>
  <si>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</si>
  <si>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</si>
  <si>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</si>
  <si>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</si>
  <si>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</si>
  <si>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</si>
  <si>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</si>
  <si>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</si>
  <si>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</si>
  <si>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</si>
  <si>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</si>
  <si>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</si>
  <si>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</si>
  <si>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</si>
  <si>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</si>
  <si>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</si>
  <si>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</si>
  <si>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</si>
  <si>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</si>
  <si>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</si>
  <si>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</si>
  <si>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</si>
  <si>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</si>
  <si>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</si>
  <si>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</si>
  <si>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</si>
  <si>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</si>
  <si>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</si>
  <si>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</si>
  <si>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</si>
  <si>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</si>
  <si>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</si>
  <si>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</si>
  <si>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</si>
  <si>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</si>
  <si>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</si>
  <si>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</si>
  <si>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</si>
  <si>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</si>
  <si>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</si>
  <si>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</si>
  <si>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</si>
  <si>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</si>
  <si>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</si>
  <si>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</si>
  <si>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</si>
  <si>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</si>
  <si>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</si>
  <si>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</si>
  <si>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</si>
  <si>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</si>
  <si>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</si>
  <si>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</si>
  <si>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</si>
  <si>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</si>
  <si>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</si>
  <si>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</si>
  <si>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</si>
  <si>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</si>
  <si>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</si>
  <si>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</si>
  <si>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</si>
  <si>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</si>
  <si>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</si>
  <si>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</si>
  <si>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</si>
  <si>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</si>
  <si>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</si>
  <si>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</si>
  <si>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</si>
  <si>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</si>
  <si>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</si>
  <si>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</si>
  <si>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</si>
  <si>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</si>
  <si>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</si>
  <si>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</si>
  <si>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</si>
  <si>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</si>
  <si>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</si>
  <si>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</si>
  <si>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</si>
  <si>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</si>
  <si>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</si>
  <si>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</si>
  <si>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</si>
  <si>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</si>
  <si>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</si>
  <si>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</si>
  <si>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</si>
  <si>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</si>
  <si>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</si>
  <si>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</si>
  <si>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</si>
  <si>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</si>
  <si>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</si>
  <si>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</si>
  <si>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</si>
  <si>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</si>
  <si>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</si>
  <si>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</si>
  <si>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</si>
  <si>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</si>
  <si>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</si>
  <si>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</si>
  <si>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</si>
  <si>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</si>
  <si>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</si>
  <si>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</si>
  <si>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</si>
  <si>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</si>
  <si>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</si>
  <si>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</si>
  <si>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</si>
  <si>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</si>
  <si>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</si>
  <si>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</si>
  <si>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</si>
  <si>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</si>
  <si>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</si>
  <si>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</si>
  <si>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</si>
  <si>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</si>
  <si>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</si>
  <si>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</si>
  <si>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</si>
  <si>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</si>
  <si>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</si>
  <si>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</si>
  <si>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</si>
  <si>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</si>
  <si>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</si>
  <si>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</si>
  <si>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</si>
  <si>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</si>
  <si>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</si>
  <si>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</si>
  <si>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</si>
  <si>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</si>
  <si>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</si>
  <si>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</si>
  <si>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</si>
  <si>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</si>
  <si>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</si>
  <si>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</si>
  <si>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</si>
  <si>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</si>
  <si>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</si>
  <si>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</si>
  <si>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</si>
  <si>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</si>
  <si>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</si>
  <si>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</si>
  <si>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</si>
  <si>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</si>
  <si>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</si>
  <si>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</si>
  <si>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</si>
  <si>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</si>
  <si>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</si>
  <si>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</si>
  <si>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</si>
  <si>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</si>
  <si>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</si>
  <si>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</si>
  <si>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</si>
  <si>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</si>
  <si>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</si>
  <si>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</si>
  <si>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</si>
  <si>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</si>
  <si>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</si>
  <si>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</si>
  <si>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</si>
  <si>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</si>
  <si>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</si>
  <si>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</si>
  <si>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</si>
  <si>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</si>
  <si>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</si>
  <si>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</si>
  <si>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</si>
  <si>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</si>
  <si>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</si>
  <si>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</si>
  <si>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</si>
  <si>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</si>
  <si>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</si>
  <si>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</si>
  <si>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</si>
  <si>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</si>
  <si>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</si>
  <si>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</si>
  <si>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</si>
  <si>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</si>
  <si>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</si>
  <si>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</si>
  <si>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</si>
  <si>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</si>
  <si>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</si>
  <si>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</si>
  <si>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</si>
  <si>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</si>
  <si>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</si>
  <si>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</si>
  <si>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</si>
  <si>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</si>
  <si>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</si>
  <si>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</si>
  <si>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</si>
  <si>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</si>
  <si>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</si>
  <si>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</si>
  <si>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</si>
  <si>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</si>
  <si>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</si>
  <si>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</si>
  <si>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</si>
  <si>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</si>
  <si>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</si>
  <si>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</si>
  <si>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</si>
  <si>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</si>
  <si>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</si>
  <si>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</si>
  <si>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</si>
  <si>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</si>
  <si>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</si>
  <si>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</si>
  <si>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</si>
  <si>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</si>
  <si>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</si>
  <si>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</si>
  <si>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</si>
  <si>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</si>
  <si>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</si>
  <si>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</si>
  <si>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</si>
  <si>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</si>
  <si>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</si>
  <si>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</si>
  <si>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</si>
  <si>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</si>
  <si>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</si>
  <si>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</si>
  <si>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</si>
  <si>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</si>
  <si>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</si>
  <si>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</si>
  <si>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</si>
  <si>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</si>
  <si>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</si>
  <si>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</si>
  <si>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</si>
  <si>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</si>
  <si>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</si>
  <si>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</si>
  <si>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</si>
  <si>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</si>
  <si>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</si>
  <si>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</si>
  <si>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</si>
  <si>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</si>
  <si>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</si>
  <si>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</si>
  <si>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</si>
  <si>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</si>
  <si>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</si>
  <si>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</si>
  <si>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</si>
  <si>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</si>
  <si>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</si>
  <si>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</si>
  <si>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</si>
  <si>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</si>
  <si>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</si>
  <si>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</si>
  <si>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</si>
  <si>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</si>
  <si>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</si>
  <si>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</si>
  <si>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</si>
  <si>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</si>
  <si>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</si>
  <si>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</si>
  <si>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</si>
  <si>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</si>
  <si>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</si>
  <si>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</si>
  <si>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</si>
  <si>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</si>
  <si>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</si>
  <si>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</si>
  <si>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</si>
  <si>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</si>
  <si>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</si>
  <si>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</si>
  <si>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</si>
  <si>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</si>
  <si>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</si>
  <si>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</si>
  <si>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</si>
  <si>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</si>
  <si>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</si>
  <si>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</si>
  <si>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</si>
  <si>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</si>
  <si>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</si>
  <si>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</si>
  <si>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</si>
  <si>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</si>
  <si>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</si>
  <si>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</si>
  <si>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</si>
  <si>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</si>
  <si>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</si>
  <si>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</si>
  <si>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</si>
  <si>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</si>
  <si>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</si>
  <si>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</si>
  <si>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</si>
  <si>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</si>
  <si>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</si>
  <si>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</si>
  <si>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</si>
  <si>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</si>
  <si>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</si>
  <si>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</si>
  <si>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</si>
  <si>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</si>
  <si>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</si>
  <si>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</si>
  <si>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</si>
  <si>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</si>
  <si>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</si>
  <si>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</si>
  <si>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</si>
  <si>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</si>
  <si>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</si>
  <si>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</si>
  <si>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</si>
  <si>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</si>
  <si>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</si>
  <si>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</si>
  <si>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</si>
  <si>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</si>
  <si>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</si>
  <si>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</si>
  <si>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</si>
  <si>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</si>
  <si>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</si>
  <si>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</si>
  <si>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</si>
  <si>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</si>
  <si>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</si>
  <si>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</si>
  <si>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</si>
  <si>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</si>
  <si>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</si>
  <si>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</si>
  <si>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</si>
  <si>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</si>
  <si>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</si>
  <si>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</si>
  <si>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</si>
  <si>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</si>
  <si>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</si>
  <si>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</si>
  <si>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</si>
  <si>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</si>
  <si>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</si>
  <si>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</si>
  <si>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</si>
  <si>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</si>
  <si>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</si>
  <si>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</si>
  <si>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</si>
  <si>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</si>
  <si>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</si>
  <si>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</si>
  <si>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</si>
  <si>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</si>
  <si>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</si>
  <si>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</si>
  <si>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</si>
  <si>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</si>
  <si>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</si>
  <si>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</si>
  <si>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</si>
  <si>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</si>
  <si>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</si>
  <si>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</si>
  <si>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</si>
  <si>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</si>
  <si>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</si>
  <si>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</si>
  <si>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</si>
  <si>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</si>
  <si>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</si>
  <si>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</si>
  <si>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</si>
  <si>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</si>
  <si>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</si>
  <si>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</si>
  <si>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</si>
  <si>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</si>
  <si>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</si>
  <si>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</si>
  <si>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</si>
  <si>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</si>
  <si>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</si>
  <si>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</si>
  <si>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</si>
  <si>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</si>
  <si>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</si>
  <si>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</si>
  <si>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</si>
  <si>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</si>
  <si>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</si>
  <si>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</si>
  <si>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</si>
  <si>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</si>
  <si>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</si>
  <si>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</si>
  <si>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</si>
  <si>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</si>
  <si>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</si>
  <si>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</si>
  <si>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</si>
  <si>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</si>
  <si>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</si>
  <si>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</si>
  <si>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</si>
  <si>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</si>
  <si>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</si>
  <si>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</si>
  <si>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</si>
  <si>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</si>
  <si>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</si>
  <si>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</si>
  <si>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</si>
  <si>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</si>
  <si>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</si>
  <si>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</si>
  <si>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</si>
  <si>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</si>
  <si>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</si>
  <si>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</si>
  <si>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</si>
  <si>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</si>
  <si>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</si>
  <si>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</si>
  <si>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</si>
  <si>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</si>
  <si>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</si>
  <si>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</si>
  <si>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</si>
  <si>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</si>
  <si>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</si>
  <si>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</si>
  <si>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</si>
  <si>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</si>
  <si>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</si>
  <si>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</si>
  <si>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</si>
  <si>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</si>
  <si>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</si>
  <si>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</si>
  <si>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</si>
  <si>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</si>
  <si>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</si>
  <si>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</si>
  <si>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</si>
  <si>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</si>
  <si>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</si>
  <si>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</si>
  <si>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</si>
  <si>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</si>
  <si>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</si>
  <si>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</si>
  <si>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</si>
  <si>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</si>
  <si>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</si>
  <si>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</si>
  <si>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</si>
  <si>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</si>
  <si>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</si>
  <si>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</si>
  <si>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</si>
  <si>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</si>
  <si>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</si>
  <si>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</si>
  <si>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</si>
  <si>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</si>
  <si>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</si>
  <si>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</si>
  <si>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</si>
  <si>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</si>
  <si>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</si>
  <si>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</si>
  <si>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</si>
  <si>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</si>
  <si>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</si>
  <si>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</si>
  <si>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</si>
  <si>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</si>
  <si>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</si>
  <si>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</si>
  <si>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</si>
  <si>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</si>
  <si>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</si>
  <si>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</si>
  <si>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</si>
  <si>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</si>
  <si>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</si>
  <si>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</si>
  <si>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</si>
  <si>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</si>
  <si>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</si>
  <si>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</si>
  <si>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</si>
  <si>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</si>
  <si>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</si>
  <si>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</si>
  <si>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</si>
  <si>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</si>
  <si>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</si>
  <si>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</si>
  <si>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</si>
  <si>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</si>
  <si>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</si>
  <si>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</si>
  <si>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</si>
  <si>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</si>
  <si>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</si>
  <si>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</si>
  <si>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</si>
  <si>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</si>
  <si>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</si>
  <si>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</si>
  <si>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</si>
  <si>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</si>
  <si>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</si>
  <si>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</si>
  <si>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</si>
  <si>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</si>
  <si>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</si>
  <si>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</si>
  <si>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</si>
  <si>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</si>
  <si>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</si>
  <si>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</si>
  <si>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</si>
  <si>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</si>
  <si>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</si>
  <si>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</si>
  <si>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</si>
  <si>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</si>
  <si>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</si>
  <si>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</si>
  <si>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</si>
  <si>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</si>
  <si>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</si>
  <si>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</si>
  <si>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</si>
  <si>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</si>
  <si>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</si>
  <si>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</si>
  <si>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</si>
  <si>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</si>
  <si>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</si>
  <si>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</si>
  <si>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</si>
  <si>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</si>
  <si>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</si>
  <si>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</si>
  <si>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</si>
  <si>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</si>
  <si>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</si>
  <si>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</si>
  <si>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</si>
  <si>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</si>
  <si>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</si>
  <si>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</si>
  <si>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</si>
  <si>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</si>
  <si>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</si>
  <si>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</si>
  <si>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</si>
  <si>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</si>
  <si>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</si>
  <si>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</si>
  <si>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</si>
  <si>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</si>
  <si>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</si>
  <si>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</si>
  <si>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</si>
  <si>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</si>
  <si>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</si>
  <si>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</si>
  <si>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</si>
  <si>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</si>
  <si>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</si>
  <si>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</si>
  <si>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</si>
  <si>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</si>
  <si>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</si>
  <si>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</si>
  <si>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</si>
  <si>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</si>
  <si>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</si>
  <si>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</si>
  <si>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</si>
  <si>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</si>
  <si>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</si>
  <si>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</si>
  <si>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</si>
  <si>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</si>
  <si>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</si>
  <si>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</si>
  <si>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</si>
  <si>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</si>
  <si>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</si>
  <si>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</si>
  <si>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</si>
  <si>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</si>
  <si>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</si>
  <si>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</si>
  <si>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</si>
  <si>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</si>
  <si>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</si>
  <si>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</si>
  <si>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</si>
  <si>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</si>
  <si>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</si>
  <si>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</si>
  <si>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</si>
  <si>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</si>
  <si>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</si>
  <si>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</si>
  <si>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</si>
  <si>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</si>
  <si>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</si>
  <si>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</si>
  <si>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</si>
  <si>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</si>
  <si>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</si>
  <si>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</si>
  <si>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</si>
  <si>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</si>
  <si>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</si>
  <si>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</si>
  <si>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</si>
  <si>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</si>
  <si>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</si>
  <si>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</si>
  <si>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</si>
  <si>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</si>
  <si>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</si>
  <si>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</si>
  <si>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</si>
  <si>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</si>
  <si>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</si>
  <si>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</si>
  <si>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</si>
  <si>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</si>
  <si>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</si>
  <si>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</si>
  <si>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</si>
  <si>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</si>
  <si>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</si>
  <si>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</si>
  <si>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</si>
  <si>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</si>
  <si>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</si>
  <si>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</si>
  <si>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</si>
  <si>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</si>
  <si>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</si>
  <si>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</si>
  <si>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</si>
  <si>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</si>
  <si>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</si>
  <si>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</si>
  <si>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</si>
  <si>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</si>
  <si>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</si>
  <si>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</si>
  <si>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</si>
  <si>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</si>
  <si>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</si>
  <si>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</si>
  <si>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</si>
  <si>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</si>
  <si>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</si>
  <si>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</si>
  <si>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</si>
  <si>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</si>
  <si>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</si>
  <si>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</si>
  <si>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</si>
  <si>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</si>
  <si>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</si>
  <si>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</si>
  <si>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</si>
  <si>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</si>
  <si>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</si>
  <si>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</si>
  <si>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</si>
  <si>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</si>
  <si>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</si>
  <si>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</si>
  <si>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</si>
  <si>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</si>
  <si>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</si>
  <si>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</si>
  <si>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</si>
  <si>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</si>
  <si>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</si>
  <si>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</si>
  <si>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</si>
  <si>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</si>
  <si>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</si>
  <si>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</si>
  <si>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</si>
  <si>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</si>
  <si>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</si>
  <si>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</si>
  <si>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</si>
  <si>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</si>
  <si>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</si>
  <si>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</si>
  <si>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</si>
  <si>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</si>
  <si>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</si>
  <si>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</si>
  <si>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</si>
  <si>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</si>
  <si>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</si>
  <si>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</si>
  <si>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</si>
  <si>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</si>
  <si>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</si>
  <si>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</si>
  <si>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</si>
  <si>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</si>
  <si>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</si>
  <si>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</si>
  <si>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</si>
  <si>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</si>
  <si>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</si>
  <si>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</si>
  <si>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</si>
  <si>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</si>
  <si>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</si>
  <si>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</si>
  <si>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</si>
  <si>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</si>
  <si>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</si>
  <si>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</si>
  <si>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</si>
  <si>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</si>
  <si>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</si>
  <si>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</si>
  <si>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</si>
  <si>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</si>
  <si>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</si>
  <si>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</si>
  <si>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</si>
  <si>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</si>
  <si>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</si>
  <si>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</si>
  <si>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</si>
  <si>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</si>
  <si>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</si>
  <si>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</si>
  <si>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</si>
  <si>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</si>
  <si>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</si>
  <si>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</si>
  <si>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</si>
  <si>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</si>
  <si>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</si>
  <si>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</si>
  <si>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</si>
  <si>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</si>
  <si>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</si>
  <si>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</si>
  <si>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</si>
  <si>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</si>
  <si>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</si>
  <si>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</si>
  <si>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</si>
  <si>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</si>
  <si>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</si>
  <si>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</si>
  <si>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</si>
  <si>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</si>
  <si>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</si>
  <si>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</si>
  <si>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</si>
  <si>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</si>
  <si>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</si>
  <si>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</si>
  <si>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</si>
  <si>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</si>
  <si>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</si>
  <si>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</si>
  <si>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</si>
  <si>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</si>
  <si>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</si>
  <si>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</si>
  <si>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</si>
  <si>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</si>
  <si>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</si>
  <si>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</si>
  <si>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</si>
  <si>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</si>
  <si>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</si>
  <si>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</si>
  <si>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</si>
  <si>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</si>
  <si>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</si>
  <si>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</si>
  <si>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</si>
  <si>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</si>
  <si>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</si>
  <si>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</si>
  <si>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</si>
  <si>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</si>
  <si>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</si>
  <si>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</si>
  <si>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</si>
  <si>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</si>
  <si>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</si>
  <si>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</si>
  <si>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</si>
  <si>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</si>
  <si>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</si>
  <si>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</si>
  <si>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</si>
  <si>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</si>
  <si>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</si>
  <si>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</si>
  <si>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</si>
  <si>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</si>
  <si>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</si>
  <si>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</si>
  <si>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</si>
  <si>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</si>
  <si>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</si>
  <si>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</si>
  <si>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</si>
  <si>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</si>
  <si>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</si>
  <si>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</si>
  <si>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</si>
  <si>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</si>
  <si>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</si>
  <si>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</si>
  <si>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</si>
  <si>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</si>
  <si>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</si>
  <si>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</si>
  <si>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</si>
  <si>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</si>
  <si>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</si>
  <si>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</si>
  <si>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</si>
  <si>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</si>
  <si>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</si>
  <si>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</si>
  <si>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</si>
  <si>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</si>
  <si>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</si>
  <si>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</si>
  <si>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</si>
  <si>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</si>
  <si>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</si>
  <si>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</si>
  <si>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</si>
  <si>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</si>
  <si>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</si>
  <si>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</si>
  <si>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</si>
  <si>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</si>
  <si>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</si>
  <si>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</si>
  <si>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</si>
  <si>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</si>
  <si>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</si>
  <si>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</si>
  <si>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</si>
  <si>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</si>
  <si>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</si>
  <si>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</si>
  <si>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</si>
  <si>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</si>
  <si>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</si>
  <si>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</si>
  <si>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</si>
  <si>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</si>
  <si>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</si>
  <si>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</si>
  <si>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</si>
  <si>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</si>
  <si>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</si>
  <si>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</si>
  <si>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</si>
  <si>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</si>
  <si>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</si>
  <si>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</si>
  <si>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</si>
  <si>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</si>
  <si>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</si>
  <si>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</si>
  <si>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</si>
  <si>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</si>
  <si>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</si>
  <si>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</si>
  <si>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</si>
  <si>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</si>
  <si>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</si>
  <si>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</si>
  <si>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</si>
  <si>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</si>
  <si>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</si>
  <si>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</si>
  <si>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</si>
  <si>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</si>
  <si>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</si>
  <si>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</si>
  <si>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</si>
  <si>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</si>
  <si>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</si>
  <si>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</si>
  <si>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</si>
  <si>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</si>
  <si>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</si>
  <si>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</si>
  <si>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</si>
  <si>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</si>
  <si>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</si>
  <si>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</si>
  <si>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</si>
  <si>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</si>
  <si>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</si>
  <si>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</si>
  <si>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</si>
  <si>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</si>
  <si>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</si>
  <si>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</si>
  <si>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</si>
  <si>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</si>
  <si>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</si>
  <si>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</si>
  <si>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</si>
  <si>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</si>
  <si>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</si>
  <si>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</si>
  <si>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</si>
  <si>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</si>
  <si>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</si>
  <si>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</si>
  <si>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</si>
  <si>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</si>
  <si>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</si>
  <si>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</si>
  <si>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</si>
  <si>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</si>
  <si>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</si>
  <si>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</si>
  <si>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</si>
  <si>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</si>
  <si>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</si>
  <si>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</si>
  <si>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</si>
  <si>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</si>
  <si>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</si>
  <si>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</si>
  <si>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</si>
  <si>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</si>
  <si>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</si>
  <si>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</si>
  <si>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</si>
  <si>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</si>
  <si>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</si>
  <si>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</si>
  <si>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</si>
  <si>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</si>
  <si>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</si>
  <si>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</si>
  <si>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</si>
  <si>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</si>
  <si>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</si>
  <si>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</si>
  <si>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</si>
  <si>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</si>
  <si>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</si>
  <si>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</si>
  <si>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</si>
  <si>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</si>
  <si>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</si>
  <si>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</si>
  <si>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</si>
  <si>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</si>
  <si>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</si>
  <si>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</si>
  <si>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</si>
  <si>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</si>
  <si>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</si>
  <si>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</si>
  <si>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</si>
  <si>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</si>
  <si>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</si>
  <si>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</si>
  <si>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</si>
  <si>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</si>
  <si>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</si>
  <si>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</si>
  <si>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</si>
  <si>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</si>
  <si>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</si>
  <si>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</si>
  <si>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</si>
  <si>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</si>
  <si>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</si>
  <si>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</si>
  <si>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</si>
  <si>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</si>
  <si>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</si>
  <si>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</si>
  <si>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</si>
  <si>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</si>
  <si>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</si>
  <si>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</si>
  <si>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</si>
  <si>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</si>
  <si>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</si>
  <si>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</si>
  <si>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</si>
  <si>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</si>
  <si>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</si>
  <si>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</si>
  <si>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</si>
  <si>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</si>
  <si>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</si>
  <si>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</si>
  <si>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</si>
  <si>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</si>
  <si>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</si>
  <si>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</si>
  <si>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</si>
  <si>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</si>
  <si>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</si>
  <si>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</si>
  <si>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</si>
  <si>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</si>
  <si>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</si>
  <si>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</si>
  <si>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</si>
  <si>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</si>
  <si>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</si>
  <si>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</si>
  <si>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</si>
  <si>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</si>
  <si>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</si>
  <si>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</si>
  <si>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</si>
  <si>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</si>
  <si>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</si>
  <si>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</si>
  <si>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</si>
  <si>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</si>
  <si>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</si>
  <si>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</si>
  <si>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</si>
  <si>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</si>
  <si>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</si>
  <si>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</si>
  <si>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</si>
  <si>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</si>
  <si>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</si>
  <si>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</si>
  <si>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</si>
  <si>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</si>
  <si>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</si>
  <si>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</si>
  <si>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</si>
  <si>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</si>
  <si>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</si>
  <si>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</si>
  <si>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</si>
  <si>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</si>
  <si>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</si>
  <si>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</si>
  <si>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</si>
  <si>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</si>
  <si>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</si>
  <si>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</si>
  <si>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</si>
  <si>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</si>
  <si>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</si>
  <si>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</si>
  <si>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</si>
  <si>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</si>
  <si>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</si>
  <si>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</si>
  <si>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</si>
  <si>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</si>
  <si>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</si>
  <si>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</si>
  <si>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</si>
  <si>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</si>
  <si>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</si>
  <si>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</si>
  <si>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</si>
  <si>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</si>
  <si>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</si>
  <si>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</si>
  <si>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</si>
  <si>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</si>
  <si>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</si>
  <si>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</si>
  <si>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</si>
  <si>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</si>
  <si>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</si>
  <si>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</si>
  <si>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</si>
  <si>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</si>
  <si>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</si>
  <si>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</si>
  <si>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</si>
  <si>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</si>
  <si>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</si>
  <si>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</si>
  <si>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</si>
  <si>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</si>
  <si>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</si>
  <si>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</si>
  <si>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</si>
  <si>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</si>
  <si>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</si>
  <si>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</si>
  <si>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</si>
  <si>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</si>
  <si>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</si>
  <si>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</si>
  <si>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</si>
  <si>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</si>
  <si>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</si>
  <si>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</si>
  <si>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</si>
  <si>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</si>
  <si>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</si>
  <si>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</si>
  <si>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</si>
  <si>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</si>
  <si>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</si>
  <si>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</si>
  <si>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</si>
  <si>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</si>
  <si>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</si>
  <si>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</si>
  <si>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</si>
  <si>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</si>
  <si>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</si>
  <si>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</si>
  <si>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</si>
  <si>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</si>
  <si>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</si>
  <si>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</si>
  <si>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</si>
  <si>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</si>
  <si>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</si>
  <si>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</si>
  <si>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</si>
  <si>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</si>
  <si>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</si>
  <si>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</si>
  <si>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</si>
  <si>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</si>
  <si>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</si>
  <si>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</si>
  <si>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</si>
  <si>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</si>
  <si>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</si>
  <si>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</si>
  <si>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</si>
  <si>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</si>
  <si>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</si>
  <si>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</si>
  <si>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</si>
  <si>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</si>
  <si>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</si>
  <si>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</si>
  <si>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</si>
  <si>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</si>
  <si>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</si>
  <si>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</si>
  <si>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</si>
  <si>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</si>
  <si>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</si>
  <si>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</si>
  <si>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</si>
  <si>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</si>
  <si>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</si>
  <si>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</si>
  <si>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</si>
  <si>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</si>
  <si>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</si>
  <si>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</si>
  <si>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</si>
  <si>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</si>
  <si>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</si>
  <si>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</si>
  <si>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</si>
  <si>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</si>
  <si>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</si>
  <si>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</si>
  <si>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</si>
  <si>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</si>
  <si>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</si>
  <si>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</si>
  <si>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</si>
  <si>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</si>
  <si>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</si>
  <si>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</si>
  <si>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</si>
  <si>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</si>
  <si>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</si>
  <si>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</si>
  <si>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</si>
  <si>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</si>
  <si>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</si>
  <si>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</si>
  <si>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</si>
  <si>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</si>
  <si>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</si>
  <si>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</si>
  <si>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</si>
  <si>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</si>
  <si>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</si>
  <si>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</si>
  <si>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</si>
  <si>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</si>
  <si>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</si>
  <si>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</si>
  <si>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</si>
  <si>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</si>
  <si>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</si>
  <si>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</si>
  <si>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</si>
  <si>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</si>
  <si>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</si>
  <si>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</si>
  <si>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</si>
  <si>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</si>
  <si>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</si>
  <si>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</si>
  <si>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</si>
  <si>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</si>
  <si>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</si>
  <si>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</si>
  <si>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</si>
  <si>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</si>
  <si>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</si>
  <si>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</si>
  <si>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</si>
  <si>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</si>
  <si>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</si>
  <si>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</si>
  <si>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</si>
  <si>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</si>
  <si>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</si>
  <si>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</si>
  <si>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</si>
  <si>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</si>
  <si>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</si>
  <si>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</si>
  <si>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</si>
  <si>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</si>
  <si>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</si>
  <si>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</si>
  <si>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</si>
  <si>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</si>
  <si>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</si>
  <si>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</si>
  <si>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</si>
  <si>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</si>
  <si>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</si>
  <si>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</si>
  <si>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</si>
  <si>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</si>
  <si>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</si>
  <si>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</si>
  <si>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</si>
  <si>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</si>
  <si>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</si>
  <si>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</si>
  <si>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</si>
  <si>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</si>
  <si>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</si>
  <si>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</si>
  <si>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</si>
  <si>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</si>
  <si>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</si>
  <si>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</si>
  <si>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</si>
  <si>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</si>
  <si>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</si>
  <si>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</si>
  <si>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</si>
  <si>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</si>
  <si>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</si>
  <si>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</si>
  <si>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</si>
  <si>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</si>
  <si>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</si>
  <si>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</si>
  <si>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</si>
  <si>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</si>
  <si>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</si>
  <si>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</si>
  <si>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</si>
  <si>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</si>
  <si>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</si>
  <si>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</si>
  <si>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</si>
  <si>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</si>
  <si>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</si>
  <si>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</si>
  <si>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</si>
  <si>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</si>
  <si>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</si>
  <si>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</si>
  <si>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</si>
  <si>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</si>
  <si>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</si>
  <si>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</si>
  <si>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</si>
  <si>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</si>
  <si>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</si>
  <si>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</si>
  <si>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</si>
  <si>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</si>
  <si>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</si>
  <si>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</si>
  <si>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</si>
  <si>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</si>
  <si>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</si>
  <si>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</si>
  <si>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</si>
  <si>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</si>
  <si>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</si>
  <si>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</si>
  <si>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</si>
  <si>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</si>
  <si>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</si>
  <si>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</si>
  <si>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</si>
  <si>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</si>
  <si>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</si>
  <si>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</si>
  <si>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</si>
  <si>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</si>
  <si>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</si>
  <si>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</si>
  <si>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</si>
  <si>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</si>
  <si>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</si>
  <si>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</si>
  <si>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</si>
  <si>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</si>
  <si>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</si>
  <si>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</si>
  <si>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</si>
  <si>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</si>
  <si>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</si>
  <si>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</si>
  <si>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</si>
  <si>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</si>
  <si>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</si>
  <si>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</si>
  <si>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</si>
  <si>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</si>
  <si>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</si>
  <si>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</si>
  <si>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</si>
  <si>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</si>
  <si>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</si>
  <si>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</si>
  <si>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</si>
  <si>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</si>
  <si>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</si>
  <si>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</si>
  <si>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</si>
  <si>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</si>
  <si>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</si>
  <si>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</si>
  <si>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</si>
  <si>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</si>
  <si>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</si>
  <si>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</si>
  <si>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</si>
  <si>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</si>
  <si>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</si>
  <si>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</si>
  <si>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</si>
  <si>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</si>
  <si>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</si>
  <si>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</si>
  <si>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</si>
  <si>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</si>
  <si>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</si>
  <si>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</si>
  <si>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</si>
  <si>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</si>
  <si>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</si>
  <si>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</si>
  <si>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</si>
  <si>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</si>
  <si>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</si>
  <si>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</si>
  <si>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</si>
  <si>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</si>
  <si>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</si>
  <si>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</si>
  <si>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</si>
  <si>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</si>
  <si>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</si>
  <si>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</si>
  <si>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</si>
  <si>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</si>
  <si>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</si>
  <si>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</si>
  <si>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</si>
  <si>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</si>
  <si>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</si>
  <si>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</si>
  <si>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</si>
  <si>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</si>
  <si>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</si>
  <si>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</si>
  <si>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</si>
  <si>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</si>
  <si>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</si>
  <si>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</si>
  <si>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</si>
  <si>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</si>
  <si>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</si>
  <si>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</si>
  <si>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</si>
  <si>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</si>
  <si>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</si>
  <si>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</si>
  <si>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</si>
  <si>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</si>
  <si>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</si>
  <si>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</si>
  <si>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</si>
  <si>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</si>
  <si>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</si>
  <si>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</si>
  <si>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</si>
  <si>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</si>
  <si>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</si>
  <si>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</si>
  <si>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</si>
  <si>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</si>
  <si>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</si>
  <si>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</si>
  <si>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</si>
  <si>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</si>
  <si>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</si>
  <si>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</si>
  <si>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</si>
  <si>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</si>
  <si>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</si>
  <si>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</si>
  <si>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</si>
  <si>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</si>
  <si>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</si>
  <si>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</si>
  <si>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</si>
  <si>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</si>
  <si>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</si>
  <si>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</si>
  <si>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</si>
  <si>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</si>
  <si>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</si>
  <si>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</si>
  <si>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</si>
  <si>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</si>
  <si>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</si>
  <si>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</si>
  <si>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</si>
  <si>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</si>
  <si>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</si>
  <si>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</si>
  <si>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</si>
  <si>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</si>
  <si>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</si>
  <si>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</si>
  <si>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</si>
  <si>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</si>
  <si>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</si>
  <si>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</si>
  <si>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</si>
  <si>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</si>
  <si>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</si>
  <si>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</si>
  <si>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</si>
  <si>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</si>
  <si>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</si>
  <si>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</si>
  <si>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</si>
  <si>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</si>
  <si>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</si>
  <si>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</si>
  <si>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</si>
  <si>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</si>
  <si>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</si>
  <si>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</si>
  <si>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</si>
  <si>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</si>
  <si>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</si>
  <si>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</si>
  <si>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</si>
  <si>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</si>
  <si>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</si>
  <si>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</si>
  <si>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</si>
  <si>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</si>
  <si>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</si>
  <si>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</si>
  <si>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</si>
  <si>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</si>
  <si>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</si>
  <si>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</si>
  <si>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</si>
  <si>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</si>
  <si>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</si>
  <si>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</si>
  <si>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</si>
  <si>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</si>
  <si>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</si>
  <si>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</si>
  <si>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</si>
  <si>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</si>
  <si>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</si>
  <si>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</si>
  <si>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</si>
  <si>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</si>
  <si>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</si>
  <si>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</si>
  <si>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</si>
  <si>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</si>
  <si>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</si>
  <si>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</si>
  <si>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</si>
  <si>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</si>
  <si>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</si>
  <si>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</si>
  <si>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</si>
  <si>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</si>
  <si>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</si>
  <si>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</si>
  <si>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</si>
  <si>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</si>
  <si>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</si>
  <si>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</si>
  <si>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</si>
  <si>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</si>
  <si>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</si>
  <si>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</si>
  <si>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</si>
  <si>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</si>
  <si>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</si>
  <si>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</si>
  <si>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</si>
  <si>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</si>
  <si>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</si>
  <si>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</si>
  <si>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</si>
  <si>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</si>
  <si>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</si>
  <si>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</si>
  <si>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</si>
  <si>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</si>
  <si>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</si>
  <si>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</si>
  <si>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</si>
  <si>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</si>
  <si>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</si>
  <si>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</si>
  <si>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</si>
  <si>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</si>
  <si>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</si>
  <si>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</si>
  <si>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</si>
  <si>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</si>
  <si>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</si>
  <si>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</si>
  <si>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</si>
  <si>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</si>
  <si>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</si>
  <si>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</si>
  <si>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</si>
  <si>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</si>
  <si>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</si>
  <si>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</si>
  <si>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</si>
  <si>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</si>
  <si>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</si>
  <si>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</si>
  <si>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</si>
  <si>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</si>
  <si>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</si>
  <si>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</si>
  <si>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</si>
  <si>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</si>
  <si>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</si>
  <si>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</si>
  <si>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</si>
  <si>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</si>
  <si>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</si>
  <si>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</si>
  <si>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</si>
  <si>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</si>
  <si>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</si>
  <si>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</si>
  <si>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</si>
  <si>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</si>
  <si>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</si>
  <si>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</si>
  <si>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</si>
  <si>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</si>
  <si>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</si>
  <si>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</si>
  <si>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</si>
  <si>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</si>
  <si>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</si>
  <si>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</si>
  <si>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</si>
  <si>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</si>
  <si>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</si>
  <si>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</si>
  <si>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</si>
  <si>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</si>
  <si>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</si>
  <si>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</si>
  <si>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</si>
  <si>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</si>
  <si>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</si>
  <si>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</si>
  <si>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</si>
  <si>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</si>
  <si>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</si>
  <si>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</si>
  <si>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</si>
  <si>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</si>
  <si>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</si>
  <si>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</si>
  <si>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</si>
  <si>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</si>
  <si>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</si>
  <si>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</si>
  <si>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</si>
  <si>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</si>
  <si>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</si>
  <si>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</si>
  <si>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</si>
  <si>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</si>
  <si>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</si>
  <si>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</si>
  <si>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</si>
  <si>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</si>
  <si>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</si>
  <si>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</si>
  <si>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</si>
  <si>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</si>
  <si>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</si>
  <si>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</si>
  <si>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</si>
  <si>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</si>
  <si>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</si>
  <si>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</si>
  <si>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</si>
  <si>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</si>
  <si>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</si>
  <si>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</si>
  <si>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</si>
  <si>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</si>
  <si>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</si>
  <si>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</si>
  <si>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</si>
  <si>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</si>
  <si>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</si>
  <si>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</si>
  <si>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</si>
  <si>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</si>
  <si>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</si>
  <si>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</si>
  <si>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</si>
  <si>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</si>
  <si>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</si>
  <si>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</si>
  <si>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</si>
  <si>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</si>
  <si>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</si>
  <si>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</si>
  <si>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</si>
  <si>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</si>
  <si>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</si>
  <si>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</si>
  <si>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</si>
  <si>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</si>
  <si>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</si>
  <si>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</si>
  <si>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</si>
  <si>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</si>
  <si>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</si>
  <si>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</si>
  <si>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</si>
  <si>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</si>
  <si>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</si>
  <si>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</si>
  <si>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</si>
  <si>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</si>
  <si>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</si>
  <si>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</si>
  <si>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</si>
  <si>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</si>
  <si>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</si>
  <si>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</si>
  <si>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</si>
  <si>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</si>
  <si>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</si>
  <si>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</si>
  <si>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</si>
  <si>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</si>
  <si>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</si>
  <si>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</si>
  <si>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</si>
  <si>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</si>
  <si>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</si>
  <si>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</si>
  <si>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</si>
  <si>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</si>
  <si>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</si>
  <si>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</si>
  <si>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</si>
  <si>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</si>
  <si>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</si>
  <si>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</si>
  <si>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</si>
  <si>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</si>
  <si>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</si>
  <si>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</si>
  <si>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</si>
  <si>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</si>
  <si>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</si>
  <si>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</si>
  <si>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</si>
  <si>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</si>
  <si>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</si>
  <si>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</si>
  <si>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</si>
  <si>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</si>
  <si>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</si>
  <si>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</si>
  <si>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</si>
  <si>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</si>
  <si>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</si>
  <si>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</si>
  <si>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</si>
  <si>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</si>
  <si>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</si>
  <si>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</si>
  <si>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</si>
  <si>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</si>
  <si>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</si>
  <si>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</si>
  <si>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</si>
  <si>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</si>
  <si>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</si>
  <si>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</si>
  <si>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</si>
  <si>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</si>
  <si>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</si>
  <si>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</si>
  <si>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</si>
  <si>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</si>
  <si>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</si>
  <si>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</si>
  <si>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</si>
  <si>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</si>
  <si>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</si>
  <si>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</si>
  <si>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</si>
  <si>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</si>
  <si>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</si>
  <si>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</si>
  <si>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</si>
  <si>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</si>
  <si>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</si>
  <si>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</si>
  <si>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</si>
  <si>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</si>
  <si>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</si>
  <si>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</si>
  <si>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</si>
  <si>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</si>
  <si>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</si>
  <si>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</si>
  <si>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</si>
  <si>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</si>
  <si>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</si>
  <si>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</si>
  <si>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</si>
  <si>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</si>
  <si>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</si>
  <si>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</si>
  <si>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</si>
  <si>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</si>
  <si>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</si>
  <si>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</si>
  <si>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</si>
  <si>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</si>
  <si>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</si>
  <si>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</si>
  <si>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</si>
  <si>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</si>
  <si>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</si>
  <si>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</si>
  <si>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</si>
  <si>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</si>
  <si>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</si>
  <si>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</si>
  <si>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</si>
  <si>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</si>
  <si>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</si>
  <si>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</si>
  <si>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</si>
  <si>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</si>
  <si>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</si>
  <si>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</si>
  <si>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</si>
  <si>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</si>
  <si>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</si>
  <si>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</si>
  <si>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</si>
  <si>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</si>
  <si>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</si>
  <si>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</si>
  <si>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</si>
  <si>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</si>
  <si>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</si>
  <si>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</si>
  <si>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</si>
  <si>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</si>
  <si>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</si>
  <si>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</si>
  <si>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</si>
  <si>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</si>
  <si>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</si>
  <si>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</si>
  <si>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</si>
  <si>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</si>
  <si>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</si>
  <si>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</si>
  <si>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</si>
  <si>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</si>
  <si>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</si>
  <si>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</si>
  <si>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</si>
  <si>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</si>
  <si>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</si>
  <si>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</si>
  <si>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</si>
  <si>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</si>
  <si>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</si>
  <si>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</si>
  <si>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</si>
  <si>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</si>
  <si>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</si>
  <si>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</si>
  <si>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</si>
  <si>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</si>
  <si>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</si>
  <si>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</si>
  <si>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</si>
  <si>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</si>
  <si>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</si>
  <si>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</si>
  <si>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</si>
  <si>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</si>
  <si>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</si>
  <si>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</si>
  <si>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</si>
  <si>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</si>
  <si>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</si>
  <si>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</si>
  <si>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</si>
  <si>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</si>
  <si>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</si>
  <si>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</si>
  <si>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</si>
  <si>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</si>
  <si>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</si>
  <si>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</si>
  <si>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</si>
  <si>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</si>
  <si>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</si>
  <si>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</si>
  <si>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</si>
  <si>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</si>
  <si>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</si>
  <si>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</si>
  <si>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</si>
  <si>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</si>
  <si>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</si>
  <si>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</si>
  <si>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</si>
  <si>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</si>
  <si>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</si>
  <si>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</si>
  <si>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</si>
  <si>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</si>
  <si>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</si>
  <si>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</si>
  <si>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</si>
  <si>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</si>
  <si>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</si>
  <si>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</si>
  <si>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</si>
  <si>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</si>
  <si>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</si>
  <si>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</si>
  <si>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</si>
  <si>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</si>
  <si>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</si>
  <si>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</si>
  <si>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</si>
  <si>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</si>
  <si>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</si>
  <si>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</si>
  <si>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</si>
  <si>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</si>
  <si>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</si>
  <si>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</si>
  <si>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</si>
  <si>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</si>
  <si>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</si>
  <si>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</si>
  <si>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</si>
  <si>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</si>
  <si>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</si>
  <si>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</si>
  <si>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</si>
  <si>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</si>
  <si>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</si>
  <si>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</si>
  <si>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</si>
  <si>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</si>
  <si>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</si>
  <si>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</si>
  <si>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</si>
  <si>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</si>
  <si>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</si>
  <si>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</si>
  <si>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</si>
  <si>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</si>
  <si>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</si>
  <si>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</si>
  <si>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</si>
  <si>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</si>
  <si>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</si>
  <si>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</si>
  <si>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</si>
  <si>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</si>
  <si>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</si>
  <si>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</si>
  <si>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</si>
  <si>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</si>
  <si>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</si>
  <si>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</si>
  <si>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</si>
  <si>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</si>
  <si>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</si>
  <si>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</si>
  <si>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</si>
  <si>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</si>
  <si>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</si>
  <si>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</si>
  <si>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</si>
  <si>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</si>
  <si>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</si>
  <si>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</si>
  <si>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</si>
  <si>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</si>
  <si>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</si>
  <si>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</si>
  <si>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</si>
  <si>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</si>
  <si>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</si>
  <si>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</si>
  <si>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</si>
  <si>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</si>
  <si>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</si>
  <si>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</si>
  <si>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</si>
  <si>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</si>
  <si>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</si>
  <si>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</si>
  <si>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</si>
  <si>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</si>
  <si>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</si>
  <si>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</si>
  <si>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</si>
  <si>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</si>
  <si>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</si>
  <si>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</si>
  <si>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</si>
  <si>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</si>
  <si>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</si>
  <si>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</si>
  <si>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</si>
  <si>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</si>
  <si>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</si>
  <si>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</si>
  <si>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</si>
  <si>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</si>
  <si>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</si>
  <si>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</si>
  <si>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</si>
  <si>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</si>
  <si>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</si>
  <si>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</si>
  <si>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</si>
  <si>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</si>
  <si>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</si>
  <si>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</si>
  <si>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</si>
  <si>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</si>
  <si>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</si>
  <si>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</si>
  <si>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</si>
  <si>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</si>
  <si>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</si>
  <si>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</si>
  <si>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</si>
  <si>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</si>
  <si>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</si>
  <si>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</si>
  <si>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</si>
  <si>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</si>
  <si>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</si>
  <si>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</si>
  <si>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</si>
  <si>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</si>
  <si>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</si>
  <si>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</si>
  <si>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</si>
  <si>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</si>
  <si>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</si>
  <si>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</si>
  <si>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</si>
  <si>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</si>
  <si>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</si>
  <si>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</si>
  <si>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</si>
  <si>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</si>
  <si>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</si>
  <si>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</si>
  <si>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</si>
  <si>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</si>
  <si>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</si>
  <si>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</si>
  <si>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</si>
  <si>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</si>
  <si>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</si>
  <si>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</si>
  <si>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</si>
  <si>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</si>
  <si>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</si>
  <si>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</si>
  <si>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</si>
  <si>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</si>
  <si>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</si>
  <si>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</si>
  <si>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</si>
  <si>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</si>
  <si>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</si>
  <si>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</si>
  <si>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</si>
  <si>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</si>
  <si>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</si>
  <si>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</si>
  <si>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</si>
  <si>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</si>
  <si>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</si>
  <si>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</si>
  <si>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</si>
  <si>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</si>
  <si>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</si>
  <si>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</si>
  <si>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</si>
  <si>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</si>
  <si>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</si>
  <si>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</si>
  <si>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</si>
  <si>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</si>
  <si>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</si>
  <si>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</si>
  <si>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</si>
  <si>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</si>
  <si>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</si>
  <si>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</si>
  <si>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</si>
  <si>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</si>
  <si>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</si>
  <si>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</si>
  <si>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</si>
  <si>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</si>
  <si>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</si>
  <si>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</si>
  <si>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</si>
  <si>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</si>
  <si>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</si>
  <si>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</si>
  <si>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</si>
  <si>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</si>
  <si>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</si>
  <si>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</si>
  <si>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</si>
  <si>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</si>
  <si>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</si>
  <si>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</si>
  <si>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</si>
  <si>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</si>
  <si>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</si>
  <si>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</si>
  <si>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</si>
  <si>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</si>
  <si>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</si>
  <si>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</si>
  <si>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</si>
  <si>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</si>
  <si>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</si>
  <si>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</si>
  <si>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</si>
  <si>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</si>
  <si>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</si>
  <si>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</si>
  <si>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</si>
  <si>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</si>
  <si>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</si>
  <si>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</si>
  <si>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</si>
  <si>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</si>
  <si>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</si>
  <si>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</si>
  <si>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</si>
  <si>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</si>
  <si>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</si>
  <si>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</si>
  <si>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</si>
  <si>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</si>
  <si>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</si>
  <si>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</si>
  <si>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</si>
  <si>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</si>
  <si>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</si>
  <si>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</si>
  <si>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</si>
  <si>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</si>
  <si>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</si>
  <si>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</si>
  <si>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وغدیر 61167 تا 1300</t>
  </si>
  <si>
    <t>27/4/1400</t>
  </si>
  <si>
    <t>وغدیر 3505 تا 1279</t>
  </si>
  <si>
    <t>26/12/1400</t>
  </si>
  <si>
    <t>27/12/1400</t>
  </si>
  <si>
    <t>نوسانگیری وغدیر</t>
  </si>
  <si>
    <t>28/4/1400</t>
  </si>
  <si>
    <t>ترکیبی</t>
  </si>
  <si>
    <t>وغدیر 8429 تا 1290</t>
  </si>
  <si>
    <t>4/5/1400</t>
  </si>
  <si>
    <t>وغدیر 3815 تا 1299</t>
  </si>
  <si>
    <t>5/5/1400</t>
  </si>
  <si>
    <t>اعتبار 60 میلیون تومنی علی</t>
  </si>
  <si>
    <t>سارا خرید در حساب علی</t>
  </si>
  <si>
    <t>خرید با اعتبار علی</t>
  </si>
  <si>
    <t>واریز 50 میلیون به ملت علی</t>
  </si>
  <si>
    <t>طلب از سارا</t>
  </si>
  <si>
    <t>ومهان (سود 100)</t>
  </si>
  <si>
    <t>دستی از مهدی</t>
  </si>
  <si>
    <t>طلب از مداحی 8/5/1400</t>
  </si>
  <si>
    <t>9/5/1400</t>
  </si>
  <si>
    <t>تاریخ فروش</t>
  </si>
  <si>
    <t>ومهان 469256 تا 1388</t>
  </si>
  <si>
    <t>10/5/1400</t>
  </si>
  <si>
    <t>ومهان 294 تا 1475</t>
  </si>
  <si>
    <t>11/5/1400</t>
  </si>
  <si>
    <t>زاگرس 863 تا 21750</t>
  </si>
  <si>
    <t>ت 1000 تا 28/4 و 8000 تا 4/5/1400</t>
  </si>
  <si>
    <t>5/5/1400 و 6/5/1400</t>
  </si>
  <si>
    <t>1283 و 1270</t>
  </si>
  <si>
    <t>6/5/1400</t>
  </si>
  <si>
    <t>انتهای فروردین 1401</t>
  </si>
  <si>
    <t>12/5/1400</t>
  </si>
  <si>
    <t>پارسان 5571 تا 2690</t>
  </si>
  <si>
    <t>تاپیکو 59471 تا 1453</t>
  </si>
  <si>
    <t>ومهان 152421 تا 1487</t>
  </si>
  <si>
    <t>وغدیر 79981 تا 1298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</si>
</sst>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8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166" fontId="21" fillId="6" borderId="1" xfId="0" applyNumberFormat="1" applyFont="1" applyFill="1" applyBorder="1" applyAlignment="1">
      <alignment horizontal="center"/>
    </xf>
    <xf numFmtId="0" fontId="0" fillId="0" borderId="0" xfId="0"/>
    <xf numFmtId="11" fontId="0" fillId="18" borderId="1" xfId="0" applyNumberForma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6" zoomScaleNormal="100" workbookViewId="0">
      <selection activeCell="N16" sqref="N16:N22"/>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6476</v>
      </c>
      <c r="D1" s="187" t="s">
        <v>5855</v>
      </c>
      <c r="E1" s="207" t="s">
        <v>5528</v>
      </c>
      <c r="F1" s="207" t="s">
        <v>6492</v>
      </c>
      <c r="G1" s="207" t="s">
        <v>6493</v>
      </c>
      <c r="H1" s="207" t="s">
        <v>6494</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16500</v>
      </c>
      <c r="N2" s="194">
        <f>B2*M2/$Q$2</f>
        <v>255.37040924999999</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6646</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 t="shared" ref="H6:H14" si="3">B6*G6*$R$3/$Q$2</f>
        <v>21.138551261172736</v>
      </c>
      <c r="I6" s="219">
        <f>I2</f>
        <v>2800</v>
      </c>
      <c r="J6" s="219">
        <f t="shared" ref="J6:J14" si="4">B6*I6*$R$3/$Q$2</f>
        <v>29.593971765641829</v>
      </c>
      <c r="K6" s="194">
        <v>0</v>
      </c>
      <c r="L6" s="194">
        <f t="shared" ref="L6:L14" si="5">B6*K6*$R$3/$Q$2</f>
        <v>0</v>
      </c>
      <c r="M6" s="194">
        <f>M2</f>
        <v>16500</v>
      </c>
      <c r="N6" s="194">
        <f>B6*M6*$R$3/$Q$2</f>
        <v>174.39304790467509</v>
      </c>
      <c r="O6">
        <f>B6*E6/$S$2</f>
        <v>56.539501217629628</v>
      </c>
      <c r="P6" s="94">
        <f t="shared" ref="P6:P14" si="6">B6*I6/$S$2</f>
        <v>77.717527446913579</v>
      </c>
      <c r="Q6" s="94">
        <f t="shared" ref="Q6:Q14" si="7">B6*C6/$S$2</f>
        <v>26.368446812345677</v>
      </c>
      <c r="R6" s="94">
        <f t="shared" ref="R6:R14" si="8">B6*M6/$S$2</f>
        <v>457.97828674074071</v>
      </c>
      <c r="S6" s="94"/>
      <c r="T6" s="94"/>
      <c r="U6" s="94"/>
      <c r="V6" s="94"/>
      <c r="W6" s="94"/>
      <c r="X6" s="94"/>
      <c r="Y6" s="94"/>
      <c r="Z6" s="94"/>
      <c r="AA6" s="94"/>
    </row>
    <row r="7" spans="1:27">
      <c r="A7" s="314" t="s">
        <v>6647</v>
      </c>
      <c r="B7" s="314">
        <v>556303872</v>
      </c>
      <c r="C7" s="187">
        <v>70</v>
      </c>
      <c r="D7" s="187">
        <f t="shared" si="1"/>
        <v>0.36613342600262805</v>
      </c>
      <c r="E7" s="314">
        <v>2017</v>
      </c>
      <c r="F7" s="314">
        <f t="shared" si="2"/>
        <v>10.549873146390011</v>
      </c>
      <c r="G7" s="314">
        <v>1413</v>
      </c>
      <c r="H7" s="314">
        <f t="shared" si="3"/>
        <v>7.3906647277387636</v>
      </c>
      <c r="I7" s="219">
        <v>2200</v>
      </c>
      <c r="J7" s="219">
        <f t="shared" si="4"/>
        <v>11.507050531511167</v>
      </c>
      <c r="K7" s="189">
        <v>300</v>
      </c>
      <c r="L7" s="189">
        <f t="shared" si="5"/>
        <v>1.5691432542969774</v>
      </c>
      <c r="M7" s="189">
        <v>11000</v>
      </c>
      <c r="N7" s="189">
        <f t="shared" ref="N7:N14" si="9">B7*M7*$R$3/$Q$2</f>
        <v>57.535252657555837</v>
      </c>
      <c r="O7" s="94">
        <f t="shared" ref="O7:O14" si="10">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6646</v>
      </c>
      <c r="B8" s="314">
        <v>4374853691</v>
      </c>
      <c r="C8" s="187">
        <f>C4</f>
        <v>42</v>
      </c>
      <c r="D8" s="187">
        <f t="shared" si="1"/>
        <v>1.7275955650505408</v>
      </c>
      <c r="E8" s="314">
        <f>E4</f>
        <v>467</v>
      </c>
      <c r="F8" s="314">
        <f t="shared" si="2"/>
        <v>19.209217354252441</v>
      </c>
      <c r="G8" s="314">
        <f>G4</f>
        <v>385</v>
      </c>
      <c r="H8" s="314">
        <f t="shared" si="3"/>
        <v>15.836292679629958</v>
      </c>
      <c r="I8" s="219">
        <f>I4</f>
        <v>600</v>
      </c>
      <c r="J8" s="219">
        <f t="shared" si="4"/>
        <v>24.679936643579154</v>
      </c>
      <c r="K8" s="189"/>
      <c r="L8" s="189">
        <f t="shared" si="5"/>
        <v>0</v>
      </c>
      <c r="M8" s="189">
        <f>M4</f>
        <v>2135</v>
      </c>
      <c r="N8" s="189">
        <f t="shared" si="9"/>
        <v>87.819441223402492</v>
      </c>
      <c r="O8" s="94">
        <f t="shared" si="10"/>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v>1500</v>
      </c>
      <c r="H9" s="189">
        <f t="shared" si="3"/>
        <v>58.200997638982926</v>
      </c>
      <c r="I9" s="219">
        <v>2500</v>
      </c>
      <c r="J9" s="219">
        <f t="shared" si="4"/>
        <v>97.001662731638191</v>
      </c>
      <c r="K9" s="207"/>
      <c r="L9" s="207">
        <f t="shared" si="5"/>
        <v>0</v>
      </c>
      <c r="M9" s="207">
        <v>13600</v>
      </c>
      <c r="N9" s="207">
        <f t="shared" si="9"/>
        <v>527.68904526011193</v>
      </c>
      <c r="O9" s="94">
        <f t="shared" si="10"/>
        <v>193.60139891111112</v>
      </c>
      <c r="P9" s="94">
        <f t="shared" si="6"/>
        <v>254.73868277777777</v>
      </c>
      <c r="Q9" s="94">
        <f t="shared" si="7"/>
        <v>69.28892171555556</v>
      </c>
      <c r="R9" s="94">
        <f t="shared" si="8"/>
        <v>1385.7784343111111</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 t="shared" si="3"/>
        <v>3.0892589406331288</v>
      </c>
      <c r="I10" s="219">
        <v>900</v>
      </c>
      <c r="J10" s="219">
        <f t="shared" si="4"/>
        <v>22.789615135818163</v>
      </c>
      <c r="K10" s="195"/>
      <c r="L10" s="195">
        <f t="shared" si="5"/>
        <v>0</v>
      </c>
      <c r="M10" s="195">
        <v>5870</v>
      </c>
      <c r="N10" s="195">
        <f t="shared" si="9"/>
        <v>148.63893427472513</v>
      </c>
      <c r="O10" s="94">
        <f t="shared" si="10"/>
        <v>40.437584458651855</v>
      </c>
      <c r="P10" s="94">
        <f t="shared" si="6"/>
        <v>59.84842297777778</v>
      </c>
      <c r="Q10" s="94">
        <f t="shared" si="7"/>
        <v>1.3299649550617283</v>
      </c>
      <c r="R10" s="94">
        <f t="shared" si="8"/>
        <v>390.34471431061729</v>
      </c>
      <c r="S10" s="94"/>
      <c r="T10" s="94"/>
      <c r="U10" s="94"/>
      <c r="V10" s="94"/>
      <c r="W10" s="94"/>
      <c r="X10" s="94"/>
      <c r="Y10" s="94"/>
    </row>
    <row r="11" spans="1:27">
      <c r="A11" s="314" t="s">
        <v>6648</v>
      </c>
      <c r="B11" s="314">
        <v>4953996962</v>
      </c>
      <c r="C11" s="187">
        <v>70</v>
      </c>
      <c r="D11" s="187">
        <f t="shared" si="1"/>
        <v>3.260491201656909</v>
      </c>
      <c r="E11" s="314">
        <v>556</v>
      </c>
      <c r="F11" s="314">
        <f t="shared" si="2"/>
        <v>25.897615830303451</v>
      </c>
      <c r="G11" s="314">
        <v>417.5</v>
      </c>
      <c r="H11" s="314">
        <f t="shared" si="3"/>
        <v>19.446501095596563</v>
      </c>
      <c r="I11" s="219">
        <v>600</v>
      </c>
      <c r="J11" s="219">
        <f t="shared" si="4"/>
        <v>27.947067442773506</v>
      </c>
      <c r="K11" s="189"/>
      <c r="L11" s="189">
        <f t="shared" si="5"/>
        <v>0</v>
      </c>
      <c r="M11" s="189">
        <v>3420</v>
      </c>
      <c r="N11" s="189">
        <f t="shared" si="9"/>
        <v>159.29828442380898</v>
      </c>
      <c r="O11" s="94">
        <f t="shared" si="10"/>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 t="shared" si="3"/>
        <v>1.692924598722046</v>
      </c>
      <c r="I12" s="219">
        <v>650</v>
      </c>
      <c r="J12" s="219">
        <f t="shared" si="4"/>
        <v>10.003645356084817</v>
      </c>
      <c r="K12" s="189"/>
      <c r="L12" s="189">
        <f t="shared" si="5"/>
        <v>0</v>
      </c>
      <c r="M12" s="189">
        <v>4020</v>
      </c>
      <c r="N12" s="189">
        <f t="shared" si="9"/>
        <v>61.868698971478409</v>
      </c>
      <c r="O12" s="94">
        <f t="shared" si="10"/>
        <v>14.226671838024691</v>
      </c>
      <c r="P12" s="94">
        <f t="shared" si="6"/>
        <v>26.27084288271605</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 t="shared" si="3"/>
        <v>17.595949232845779</v>
      </c>
      <c r="I13" s="219">
        <v>4000</v>
      </c>
      <c r="J13" s="219">
        <f t="shared" si="4"/>
        <v>30.601650839731793</v>
      </c>
      <c r="K13" s="189"/>
      <c r="L13" s="189">
        <f t="shared" si="5"/>
        <v>0</v>
      </c>
      <c r="M13" s="189">
        <v>21500</v>
      </c>
      <c r="N13" s="189">
        <f t="shared" si="9"/>
        <v>164.48387326355837</v>
      </c>
      <c r="O13" s="94">
        <f t="shared" si="10"/>
        <v>48.459383847111113</v>
      </c>
      <c r="P13" s="94">
        <f t="shared" si="6"/>
        <v>80.363820641975309</v>
      </c>
      <c r="Q13" s="94">
        <f t="shared" si="7"/>
        <v>22.100050676543209</v>
      </c>
      <c r="R13" s="94">
        <f t="shared" si="8"/>
        <v>431.95553595061727</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 t="shared" si="3"/>
        <v>1.3144760868113454</v>
      </c>
      <c r="I14" s="314">
        <v>1300</v>
      </c>
      <c r="J14" s="219">
        <f t="shared" si="4"/>
        <v>2.8963032421266934</v>
      </c>
      <c r="K14" s="189"/>
      <c r="L14" s="189">
        <f t="shared" si="5"/>
        <v>0</v>
      </c>
      <c r="M14" s="189">
        <v>7260</v>
      </c>
      <c r="N14" s="189">
        <f t="shared" si="9"/>
        <v>16.174739644492149</v>
      </c>
      <c r="O14" s="94">
        <f t="shared" si="10"/>
        <v>4.6982047919753089</v>
      </c>
      <c r="P14" s="94">
        <f t="shared" si="6"/>
        <v>7.6060600617283951</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6472</v>
      </c>
      <c r="B16" s="314">
        <v>4113600000</v>
      </c>
      <c r="C16" s="187">
        <v>100</v>
      </c>
      <c r="D16" s="187">
        <f>B16*C16/$Q$2</f>
        <v>5.7133333333333329</v>
      </c>
      <c r="E16" s="314">
        <v>219</v>
      </c>
      <c r="F16" s="314">
        <f>B16*E16/$Q$2</f>
        <v>12.5122</v>
      </c>
      <c r="G16" s="314">
        <v>95</v>
      </c>
      <c r="H16" s="314">
        <f t="shared" ref="H16:H19" si="11">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6474</v>
      </c>
      <c r="B17" s="189">
        <v>325000000</v>
      </c>
      <c r="C17" s="187">
        <v>1050</v>
      </c>
      <c r="D17" s="187">
        <f>B17*C17/$Q$2</f>
        <v>4.739583333333333</v>
      </c>
      <c r="E17" s="189">
        <v>2900</v>
      </c>
      <c r="F17" s="189">
        <f>B17*E17/$Q$2</f>
        <v>13.090277777777779</v>
      </c>
      <c r="G17" s="189">
        <v>2400</v>
      </c>
      <c r="H17" s="189">
        <f t="shared" si="11"/>
        <v>10.833333333333334</v>
      </c>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6473</v>
      </c>
      <c r="B18" s="189">
        <v>0.45</v>
      </c>
      <c r="C18" s="189">
        <v>550000000000</v>
      </c>
      <c r="D18" s="189">
        <f>B18*C18/$Q$2</f>
        <v>3.4375</v>
      </c>
      <c r="E18" s="189">
        <v>1460000000000</v>
      </c>
      <c r="F18" s="189">
        <f>B18*E18/$Q$2</f>
        <v>9.125</v>
      </c>
      <c r="G18" s="368">
        <v>1000000000000</v>
      </c>
      <c r="H18" s="189">
        <f t="shared" si="11"/>
        <v>6.25</v>
      </c>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6489</v>
      </c>
      <c r="B19" s="189">
        <v>1</v>
      </c>
      <c r="C19" s="189">
        <v>200000000000</v>
      </c>
      <c r="D19" s="189">
        <f>B19*C19/$Q$2</f>
        <v>2.7777777777777777</v>
      </c>
      <c r="E19" s="189">
        <v>400000000000</v>
      </c>
      <c r="F19" s="189">
        <f>B19*E19/$Q$2</f>
        <v>5.5555555555555554</v>
      </c>
      <c r="G19" s="368">
        <v>300000000000</v>
      </c>
      <c r="H19" s="189">
        <f t="shared" si="11"/>
        <v>4.166666666666667</v>
      </c>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v>25</v>
      </c>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240.9411608176888</v>
      </c>
      <c r="I25" s="207"/>
      <c r="J25" s="207">
        <f>SUM(J2:J22)</f>
        <v>416.66582162223864</v>
      </c>
      <c r="K25" s="207"/>
      <c r="L25" s="207"/>
      <c r="M25" s="207"/>
      <c r="N25" s="207">
        <f>SUM(N2:N23)</f>
        <v>3024.709401276586</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0.42979335451244732</v>
      </c>
    </row>
    <row r="30" spans="1:35">
      <c r="A30" s="94"/>
      <c r="B30" s="94"/>
      <c r="E30" s="94"/>
      <c r="F30" s="94"/>
      <c r="G30" s="94"/>
      <c r="H30" s="94"/>
      <c r="I30" s="94"/>
      <c r="J30" s="94"/>
      <c r="K30" s="94"/>
      <c r="L30" s="94"/>
      <c r="O30" t="s">
        <v>4911</v>
      </c>
    </row>
    <row r="31" spans="1:35" ht="18.75">
      <c r="A31" s="319" t="s">
        <v>6488</v>
      </c>
      <c r="B31" s="319" t="s">
        <v>4835</v>
      </c>
      <c r="C31" s="319" t="s">
        <v>6482</v>
      </c>
      <c r="D31" s="319" t="s">
        <v>5529</v>
      </c>
      <c r="E31" s="319" t="s">
        <v>6481</v>
      </c>
      <c r="F31" s="319" t="s">
        <v>6491</v>
      </c>
      <c r="H31" s="94"/>
      <c r="I31" s="94"/>
      <c r="J31" s="94"/>
      <c r="K31" s="94"/>
      <c r="L31" s="94"/>
      <c r="O31" s="97" t="s">
        <v>180</v>
      </c>
      <c r="P31" s="97" t="s">
        <v>267</v>
      </c>
      <c r="Q31" s="97" t="s">
        <v>4909</v>
      </c>
      <c r="R31" s="97"/>
      <c r="S31" s="97"/>
      <c r="T31" s="97"/>
      <c r="U31" s="94"/>
      <c r="V31" s="94"/>
      <c r="W31" s="207" t="s">
        <v>6459</v>
      </c>
      <c r="X31" s="207" t="s">
        <v>25</v>
      </c>
      <c r="Y31" s="207"/>
      <c r="Z31" s="207"/>
      <c r="AA31" s="97"/>
      <c r="AB31" s="207" t="s">
        <v>6460</v>
      </c>
      <c r="AC31" s="207"/>
      <c r="AD31" s="207"/>
      <c r="AE31" s="207"/>
      <c r="AF31" s="207"/>
      <c r="AH31" t="s">
        <v>25</v>
      </c>
    </row>
    <row r="32" spans="1:35" ht="18.75">
      <c r="A32" s="317" t="s">
        <v>6480</v>
      </c>
      <c r="B32" s="325">
        <v>880639000</v>
      </c>
      <c r="C32" s="332">
        <v>110</v>
      </c>
      <c r="D32" s="332">
        <f t="shared" ref="D32:D38" si="12">B32*C32/$Q$2</f>
        <v>1.3454206944444445</v>
      </c>
      <c r="E32" s="332">
        <v>883</v>
      </c>
      <c r="F32" s="332">
        <f>B32*E32/$Q$2</f>
        <v>10.800058847222223</v>
      </c>
      <c r="H32" s="94">
        <f>H2+H3+H16+H17+H18+H19+H20+(SUM(H6:H14)*0.8)</f>
        <v>211.75725978748437</v>
      </c>
      <c r="I32" s="94"/>
      <c r="J32" s="94"/>
      <c r="K32" s="94"/>
      <c r="L32" s="94"/>
      <c r="O32" s="97" t="s">
        <v>4902</v>
      </c>
      <c r="P32" s="18">
        <v>7500000</v>
      </c>
      <c r="Q32" s="97">
        <v>4</v>
      </c>
      <c r="R32" s="97">
        <f>Q32+R33</f>
        <v>784</v>
      </c>
      <c r="S32" s="97">
        <f>P32*R32</f>
        <v>5880000000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6483</v>
      </c>
      <c r="B33" s="326">
        <v>1175000000</v>
      </c>
      <c r="C33" s="333">
        <v>30</v>
      </c>
      <c r="D33" s="333">
        <f t="shared" si="12"/>
        <v>0.48958333333333331</v>
      </c>
      <c r="E33" s="333">
        <v>676</v>
      </c>
      <c r="F33" s="333">
        <f t="shared" ref="F33:F37" si="13">B33*E33/$Q$2</f>
        <v>11.031944444444445</v>
      </c>
      <c r="H33" s="94"/>
      <c r="I33" s="94"/>
      <c r="J33" s="94"/>
      <c r="K33" s="94"/>
      <c r="L33" s="94"/>
      <c r="O33" s="97" t="s">
        <v>4908</v>
      </c>
      <c r="P33" s="18">
        <v>-500000</v>
      </c>
      <c r="Q33" s="97">
        <v>7</v>
      </c>
      <c r="R33" s="97">
        <f t="shared" ref="R33:R96" si="14">Q33+R34</f>
        <v>780</v>
      </c>
      <c r="S33" s="97">
        <f t="shared" ref="S33:S96" si="15">P33*R33</f>
        <v>-390000000</v>
      </c>
      <c r="T33" s="97"/>
      <c r="U33" s="94"/>
      <c r="V33" s="94"/>
      <c r="W33" s="207" t="s">
        <v>6444</v>
      </c>
      <c r="X33" s="18">
        <v>55000000</v>
      </c>
      <c r="Y33" s="207">
        <v>1</v>
      </c>
      <c r="Z33" s="207">
        <f>Y33+Z34</f>
        <v>12</v>
      </c>
      <c r="AA33" s="18">
        <f>X33*Z33</f>
        <v>660000000</v>
      </c>
      <c r="AB33" s="207" t="s">
        <v>6458</v>
      </c>
      <c r="AC33" s="18">
        <v>197440000</v>
      </c>
      <c r="AD33" s="207">
        <v>11</v>
      </c>
      <c r="AE33" s="18">
        <f>AC33*AD33</f>
        <v>2171840000</v>
      </c>
      <c r="AF33" s="207"/>
    </row>
    <row r="34" spans="1:33" ht="18.75">
      <c r="A34" s="320" t="s">
        <v>6484</v>
      </c>
      <c r="B34" s="327">
        <v>1120000000</v>
      </c>
      <c r="C34" s="334">
        <v>100</v>
      </c>
      <c r="D34" s="334">
        <f t="shared" si="12"/>
        <v>1.5555555555555556</v>
      </c>
      <c r="E34" s="334">
        <v>771</v>
      </c>
      <c r="F34" s="334">
        <f t="shared" si="13"/>
        <v>11.993333333333334</v>
      </c>
      <c r="H34" s="94"/>
      <c r="I34" s="94"/>
      <c r="J34" s="94"/>
      <c r="K34" s="94"/>
      <c r="L34" s="94"/>
      <c r="O34" s="97" t="s">
        <v>4916</v>
      </c>
      <c r="P34" s="18">
        <v>-7000000</v>
      </c>
      <c r="Q34" s="97">
        <v>1</v>
      </c>
      <c r="R34" s="97">
        <f t="shared" si="14"/>
        <v>773</v>
      </c>
      <c r="S34" s="97">
        <f t="shared" si="15"/>
        <v>-5411000000</v>
      </c>
      <c r="T34" s="97"/>
      <c r="U34" s="94"/>
      <c r="V34" s="94"/>
      <c r="W34" s="207" t="s">
        <v>6461</v>
      </c>
      <c r="X34" s="18">
        <v>50000000</v>
      </c>
      <c r="Y34" s="207">
        <v>1</v>
      </c>
      <c r="Z34" s="207">
        <f t="shared" ref="Z34:Z47" si="16">Y34+Z35</f>
        <v>11</v>
      </c>
      <c r="AA34" s="18">
        <f t="shared" ref="AA34:AA47" si="17">X34*Z34</f>
        <v>550000000</v>
      </c>
      <c r="AB34" s="207"/>
      <c r="AC34" s="18"/>
      <c r="AD34" s="207"/>
      <c r="AE34" s="207"/>
      <c r="AF34" s="207"/>
      <c r="AG34" t="s">
        <v>25</v>
      </c>
    </row>
    <row r="35" spans="1:33" ht="18.75">
      <c r="A35" s="321" t="s">
        <v>6485</v>
      </c>
      <c r="B35" s="328">
        <v>468000000</v>
      </c>
      <c r="C35" s="335">
        <v>180</v>
      </c>
      <c r="D35" s="335">
        <f t="shared" si="12"/>
        <v>1.17</v>
      </c>
      <c r="E35" s="335">
        <v>5551</v>
      </c>
      <c r="F35" s="335">
        <f t="shared" si="13"/>
        <v>36.081499999999998</v>
      </c>
      <c r="H35" s="94"/>
      <c r="I35" s="94"/>
      <c r="J35" s="94"/>
      <c r="K35" s="94"/>
      <c r="L35" s="94"/>
      <c r="O35" s="97" t="s">
        <v>4919</v>
      </c>
      <c r="P35" s="18">
        <v>2000000</v>
      </c>
      <c r="Q35" s="97">
        <v>6</v>
      </c>
      <c r="R35" s="97">
        <f t="shared" si="14"/>
        <v>772</v>
      </c>
      <c r="S35" s="97">
        <f t="shared" si="15"/>
        <v>1544000000</v>
      </c>
      <c r="T35" s="97"/>
      <c r="U35" s="94"/>
      <c r="V35" s="94"/>
      <c r="W35" s="207" t="s">
        <v>6462</v>
      </c>
      <c r="X35" s="18">
        <v>50000000</v>
      </c>
      <c r="Y35" s="207">
        <v>2</v>
      </c>
      <c r="Z35" s="207">
        <f t="shared" si="16"/>
        <v>10</v>
      </c>
      <c r="AA35" s="18">
        <f t="shared" si="17"/>
        <v>500000000</v>
      </c>
      <c r="AB35" s="207"/>
      <c r="AC35" s="18"/>
      <c r="AD35" s="207"/>
      <c r="AE35" s="207"/>
      <c r="AF35" s="207"/>
    </row>
    <row r="36" spans="1:33" ht="18.75">
      <c r="A36" s="322" t="s">
        <v>6486</v>
      </c>
      <c r="B36" s="329">
        <v>393000000</v>
      </c>
      <c r="C36" s="336">
        <v>100</v>
      </c>
      <c r="D36" s="336">
        <f t="shared" si="12"/>
        <v>0.54583333333333328</v>
      </c>
      <c r="E36" s="336">
        <v>1799</v>
      </c>
      <c r="F36" s="336">
        <f t="shared" si="13"/>
        <v>9.8195416666666659</v>
      </c>
      <c r="H36" s="94"/>
      <c r="I36" s="94" t="s">
        <v>25</v>
      </c>
      <c r="J36" s="94"/>
      <c r="K36" s="94"/>
      <c r="L36" s="94"/>
      <c r="O36" s="97" t="s">
        <v>4931</v>
      </c>
      <c r="P36" s="18">
        <v>1000000</v>
      </c>
      <c r="Q36" s="97">
        <v>3</v>
      </c>
      <c r="R36" s="97">
        <f t="shared" si="14"/>
        <v>766</v>
      </c>
      <c r="S36" s="97">
        <f t="shared" si="15"/>
        <v>766000000</v>
      </c>
      <c r="T36" s="97"/>
      <c r="U36" s="94"/>
      <c r="V36" s="94"/>
      <c r="W36" s="207" t="s">
        <v>6451</v>
      </c>
      <c r="X36" s="18">
        <v>680000</v>
      </c>
      <c r="Y36" s="207">
        <v>1</v>
      </c>
      <c r="Z36" s="207">
        <f t="shared" si="16"/>
        <v>8</v>
      </c>
      <c r="AA36" s="18">
        <f t="shared" si="17"/>
        <v>5440000</v>
      </c>
      <c r="AB36" s="207"/>
      <c r="AC36" s="18"/>
      <c r="AD36" s="207"/>
      <c r="AE36" s="207"/>
      <c r="AF36" s="207"/>
    </row>
    <row r="37" spans="1:33" ht="18.75">
      <c r="A37" s="323" t="s">
        <v>6487</v>
      </c>
      <c r="B37" s="330">
        <v>4360000</v>
      </c>
      <c r="C37" s="337">
        <v>347</v>
      </c>
      <c r="D37" s="337">
        <f t="shared" si="12"/>
        <v>2.1012777777777776E-2</v>
      </c>
      <c r="E37" s="337">
        <v>16137</v>
      </c>
      <c r="F37" s="337">
        <f t="shared" si="13"/>
        <v>0.97718499999999997</v>
      </c>
      <c r="H37" s="94"/>
      <c r="I37" s="94"/>
      <c r="J37" s="94"/>
      <c r="K37" s="94"/>
      <c r="L37" s="94"/>
      <c r="O37" s="97" t="s">
        <v>4938</v>
      </c>
      <c r="P37" s="18">
        <v>200000</v>
      </c>
      <c r="Q37" s="97">
        <v>3</v>
      </c>
      <c r="R37" s="97">
        <f t="shared" si="14"/>
        <v>763</v>
      </c>
      <c r="S37" s="97">
        <f t="shared" si="15"/>
        <v>152600000</v>
      </c>
      <c r="T37" s="97"/>
      <c r="U37" s="94"/>
      <c r="V37" s="94"/>
      <c r="W37" s="207" t="s">
        <v>6463</v>
      </c>
      <c r="X37" s="18">
        <v>41483</v>
      </c>
      <c r="Y37" s="207">
        <v>1</v>
      </c>
      <c r="Z37" s="207">
        <f t="shared" si="16"/>
        <v>7</v>
      </c>
      <c r="AA37" s="18">
        <f t="shared" si="17"/>
        <v>290381</v>
      </c>
      <c r="AB37" s="207"/>
      <c r="AC37" s="18"/>
      <c r="AD37" s="207"/>
      <c r="AE37" s="207"/>
      <c r="AF37" s="207"/>
    </row>
    <row r="38" spans="1:33" ht="18.75">
      <c r="A38" s="324" t="s">
        <v>6490</v>
      </c>
      <c r="B38" s="331">
        <v>1</v>
      </c>
      <c r="C38" s="338">
        <v>80000000000</v>
      </c>
      <c r="D38" s="338">
        <f t="shared" si="12"/>
        <v>1.1111111111111112</v>
      </c>
      <c r="E38" s="338">
        <v>650000000000</v>
      </c>
      <c r="F38" s="338">
        <f>B38*E38/$Q$2</f>
        <v>9.0277777777777786</v>
      </c>
      <c r="G38" s="94"/>
      <c r="H38" s="94"/>
      <c r="I38" s="94"/>
      <c r="J38" s="94"/>
      <c r="K38" s="94"/>
      <c r="L38" s="94"/>
      <c r="O38" s="97" t="s">
        <v>4941</v>
      </c>
      <c r="P38" s="18">
        <v>-3200000</v>
      </c>
      <c r="Q38" s="97">
        <v>6</v>
      </c>
      <c r="R38" s="97">
        <f t="shared" si="14"/>
        <v>760</v>
      </c>
      <c r="S38" s="97">
        <f t="shared" si="15"/>
        <v>-2432000000</v>
      </c>
      <c r="T38" s="97"/>
      <c r="U38" s="94"/>
      <c r="V38" s="94"/>
      <c r="W38" s="207" t="s">
        <v>6464</v>
      </c>
      <c r="X38" s="18">
        <v>40000000</v>
      </c>
      <c r="Y38" s="207">
        <v>6</v>
      </c>
      <c r="Z38" s="207">
        <f t="shared" si="16"/>
        <v>6</v>
      </c>
      <c r="AA38" s="18">
        <f t="shared" si="17"/>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4"/>
        <v>754</v>
      </c>
      <c r="S39" s="97">
        <f t="shared" si="15"/>
        <v>4524000000</v>
      </c>
      <c r="T39" s="97"/>
      <c r="U39" s="94"/>
      <c r="V39" s="94"/>
      <c r="W39" s="207"/>
      <c r="X39" s="18"/>
      <c r="Y39" s="207"/>
      <c r="Z39" s="207">
        <f t="shared" si="16"/>
        <v>0</v>
      </c>
      <c r="AA39" s="18">
        <f t="shared" si="17"/>
        <v>0</v>
      </c>
      <c r="AB39" s="207"/>
      <c r="AC39" s="18"/>
      <c r="AD39" s="207"/>
      <c r="AE39" s="207"/>
      <c r="AF39" s="207"/>
    </row>
    <row r="40" spans="1:33" ht="18.75">
      <c r="A40" s="316"/>
      <c r="B40" s="316"/>
      <c r="C40" s="316"/>
      <c r="D40" s="343">
        <f>SUM(D32:D38)</f>
        <v>6.2385168055555553</v>
      </c>
      <c r="E40" s="316" t="s">
        <v>6</v>
      </c>
      <c r="F40" s="366">
        <f>SUM(F32:F38)</f>
        <v>89.731341069444454</v>
      </c>
      <c r="H40" s="94"/>
      <c r="I40" s="94"/>
      <c r="J40" s="94"/>
      <c r="K40" s="94"/>
      <c r="L40" s="94"/>
      <c r="O40" s="97" t="s">
        <v>4954</v>
      </c>
      <c r="P40" s="18">
        <v>2000000</v>
      </c>
      <c r="Q40" s="97">
        <v>3</v>
      </c>
      <c r="R40" s="97">
        <f t="shared" si="14"/>
        <v>753</v>
      </c>
      <c r="S40" s="97">
        <f t="shared" si="15"/>
        <v>1506000000</v>
      </c>
      <c r="T40" s="97"/>
      <c r="U40" s="94"/>
      <c r="V40" s="94"/>
      <c r="W40" s="207"/>
      <c r="X40" s="18"/>
      <c r="Y40" s="207"/>
      <c r="Z40" s="207">
        <f t="shared" si="16"/>
        <v>0</v>
      </c>
      <c r="AA40" s="18">
        <f t="shared" si="17"/>
        <v>0</v>
      </c>
      <c r="AB40" s="207"/>
      <c r="AC40" s="18"/>
      <c r="AD40" s="207"/>
      <c r="AE40" s="207"/>
      <c r="AF40" s="207"/>
    </row>
    <row r="41" spans="1:33">
      <c r="A41" s="94"/>
      <c r="B41" s="94"/>
      <c r="E41" s="94"/>
      <c r="F41" s="94"/>
      <c r="H41" s="94"/>
      <c r="I41" s="94"/>
      <c r="J41" s="94"/>
      <c r="K41" s="94"/>
      <c r="L41" s="94"/>
      <c r="O41" s="97" t="s">
        <v>4961</v>
      </c>
      <c r="P41" s="18">
        <v>-50000</v>
      </c>
      <c r="Q41" s="97">
        <v>7</v>
      </c>
      <c r="R41" s="97">
        <f t="shared" si="14"/>
        <v>750</v>
      </c>
      <c r="S41" s="97">
        <f t="shared" si="15"/>
        <v>-37500000</v>
      </c>
      <c r="T41" s="97"/>
      <c r="U41" s="94"/>
      <c r="V41" s="94"/>
      <c r="W41" s="207"/>
      <c r="X41" s="18"/>
      <c r="Y41" s="207"/>
      <c r="Z41" s="207">
        <f t="shared" si="16"/>
        <v>0</v>
      </c>
      <c r="AA41" s="18">
        <f t="shared" si="17"/>
        <v>0</v>
      </c>
      <c r="AB41" s="207"/>
      <c r="AC41" s="18"/>
      <c r="AD41" s="207"/>
      <c r="AE41" s="207"/>
      <c r="AF41" s="207"/>
    </row>
    <row r="42" spans="1:33">
      <c r="A42" s="94"/>
      <c r="B42" s="94"/>
      <c r="E42" s="94"/>
      <c r="F42" s="94"/>
      <c r="H42" s="94"/>
      <c r="I42" s="94"/>
      <c r="J42" s="94"/>
      <c r="K42" s="94"/>
      <c r="L42" s="94"/>
      <c r="O42" s="97" t="s">
        <v>4967</v>
      </c>
      <c r="P42" s="18">
        <v>-2480000</v>
      </c>
      <c r="Q42" s="97">
        <v>5</v>
      </c>
      <c r="R42" s="97">
        <f t="shared" si="14"/>
        <v>743</v>
      </c>
      <c r="S42" s="97">
        <f t="shared" si="15"/>
        <v>-1842640000</v>
      </c>
      <c r="T42" s="97"/>
      <c r="U42" s="94"/>
      <c r="V42" s="94"/>
      <c r="W42" s="207"/>
      <c r="X42" s="18"/>
      <c r="Y42" s="207"/>
      <c r="Z42" s="207">
        <f t="shared" si="16"/>
        <v>0</v>
      </c>
      <c r="AA42" s="18">
        <f t="shared" si="17"/>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4"/>
        <v>738</v>
      </c>
      <c r="S43" s="97">
        <f t="shared" si="15"/>
        <v>221400000</v>
      </c>
      <c r="T43" s="97"/>
      <c r="U43" s="94"/>
      <c r="V43" s="94"/>
      <c r="W43" s="207"/>
      <c r="X43" s="18" t="s">
        <v>25</v>
      </c>
      <c r="Y43" s="207"/>
      <c r="Z43" s="207">
        <f t="shared" si="16"/>
        <v>0</v>
      </c>
      <c r="AA43" s="18" t="e">
        <f t="shared" si="17"/>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4"/>
        <v>737</v>
      </c>
      <c r="S44" s="97">
        <f t="shared" si="15"/>
        <v>221100000</v>
      </c>
      <c r="T44" s="97"/>
      <c r="U44" s="94"/>
      <c r="V44" s="94"/>
      <c r="W44" s="207"/>
      <c r="X44" s="18"/>
      <c r="Y44" s="207"/>
      <c r="Z44" s="207">
        <f t="shared" si="16"/>
        <v>0</v>
      </c>
      <c r="AA44" s="18">
        <f t="shared" si="17"/>
        <v>0</v>
      </c>
      <c r="AB44" s="207"/>
      <c r="AC44" s="18"/>
      <c r="AD44" s="207"/>
      <c r="AE44" s="207"/>
      <c r="AF44" s="207"/>
    </row>
    <row r="45" spans="1:33">
      <c r="C45" s="94" t="s">
        <v>25</v>
      </c>
      <c r="O45" s="97" t="s">
        <v>4984</v>
      </c>
      <c r="P45" s="18">
        <v>500000</v>
      </c>
      <c r="Q45" s="97">
        <v>2</v>
      </c>
      <c r="R45" s="97">
        <f t="shared" si="14"/>
        <v>731</v>
      </c>
      <c r="S45" s="97">
        <f t="shared" si="15"/>
        <v>365500000</v>
      </c>
      <c r="T45" s="97"/>
      <c r="U45" s="94"/>
      <c r="V45" s="94"/>
      <c r="W45" s="207"/>
      <c r="X45" s="18"/>
      <c r="Y45" s="207"/>
      <c r="Z45" s="207">
        <f t="shared" si="16"/>
        <v>0</v>
      </c>
      <c r="AA45" s="18">
        <f t="shared" si="17"/>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4"/>
        <v>729</v>
      </c>
      <c r="S46" s="97">
        <f t="shared" si="15"/>
        <v>72900000</v>
      </c>
      <c r="T46" s="97"/>
      <c r="U46" s="94"/>
      <c r="V46" s="94"/>
      <c r="W46" s="207"/>
      <c r="X46" s="18" t="s">
        <v>25</v>
      </c>
      <c r="Y46" s="207"/>
      <c r="Z46" s="207">
        <f t="shared" si="16"/>
        <v>0</v>
      </c>
      <c r="AA46" s="18" t="e">
        <f t="shared" si="17"/>
        <v>#VALUE!</v>
      </c>
      <c r="AB46" s="207"/>
      <c r="AC46" s="18"/>
      <c r="AD46" s="207"/>
      <c r="AE46" s="207"/>
      <c r="AF46" s="207"/>
    </row>
    <row r="47" spans="1:33">
      <c r="O47" s="97" t="s">
        <v>4991</v>
      </c>
      <c r="P47" s="18">
        <v>-6423626</v>
      </c>
      <c r="Q47" s="97">
        <v>1</v>
      </c>
      <c r="R47" s="97">
        <f t="shared" si="14"/>
        <v>728</v>
      </c>
      <c r="S47" s="97">
        <f t="shared" si="15"/>
        <v>-4676399728</v>
      </c>
      <c r="T47" s="97"/>
      <c r="U47" s="94"/>
      <c r="V47" s="94"/>
      <c r="W47" s="207"/>
      <c r="X47" s="207"/>
      <c r="Y47" s="207"/>
      <c r="Z47" s="207">
        <f t="shared" si="16"/>
        <v>0</v>
      </c>
      <c r="AA47" s="18">
        <f t="shared" si="17"/>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4"/>
        <v>727</v>
      </c>
      <c r="S48" s="97">
        <f t="shared" si="15"/>
        <v>-3338737322</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8">D49*E49*$D$60</f>
        <v>698710000</v>
      </c>
      <c r="G49">
        <f>F49*11400/1000000000</f>
        <v>7965.2939999999999</v>
      </c>
      <c r="J49" t="s">
        <v>25</v>
      </c>
      <c r="O49" s="97" t="s">
        <v>4994</v>
      </c>
      <c r="P49" s="18">
        <v>4346112</v>
      </c>
      <c r="Q49" s="97">
        <v>11</v>
      </c>
      <c r="R49" s="97">
        <f t="shared" si="14"/>
        <v>727</v>
      </c>
      <c r="S49" s="97">
        <f t="shared" si="15"/>
        <v>3159623424</v>
      </c>
      <c r="T49" s="97"/>
      <c r="U49" s="94"/>
      <c r="V49" s="94"/>
      <c r="W49" s="207"/>
      <c r="X49" s="207"/>
      <c r="Y49" s="207"/>
      <c r="Z49" s="207"/>
      <c r="AA49" s="18"/>
      <c r="AB49" s="207"/>
      <c r="AC49" s="207"/>
      <c r="AD49" s="207"/>
      <c r="AE49" s="207"/>
      <c r="AF49" s="207"/>
    </row>
    <row r="50" spans="1:32">
      <c r="B50" s="94"/>
      <c r="C50" s="94" t="s">
        <v>5098</v>
      </c>
      <c r="D50" s="94">
        <v>10</v>
      </c>
      <c r="E50" s="94">
        <v>0.5</v>
      </c>
      <c r="F50" s="94">
        <f t="shared" si="18"/>
        <v>5000000</v>
      </c>
      <c r="G50" s="94">
        <f t="shared" ref="G50:G55" si="19">F50*11400/1000000000</f>
        <v>57</v>
      </c>
      <c r="O50" s="97" t="s">
        <v>5007</v>
      </c>
      <c r="P50" s="18">
        <v>1500000</v>
      </c>
      <c r="Q50" s="97">
        <v>16</v>
      </c>
      <c r="R50" s="97">
        <f t="shared" si="14"/>
        <v>716</v>
      </c>
      <c r="S50" s="97">
        <f t="shared" si="15"/>
        <v>1074000000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8"/>
        <v>319800000</v>
      </c>
      <c r="G51" s="94">
        <f t="shared" si="19"/>
        <v>3645.72</v>
      </c>
      <c r="J51" t="s">
        <v>25</v>
      </c>
      <c r="L51" t="s">
        <v>25</v>
      </c>
      <c r="O51" s="97" t="s">
        <v>4997</v>
      </c>
      <c r="P51" s="18">
        <v>6000000</v>
      </c>
      <c r="Q51" s="97">
        <v>8</v>
      </c>
      <c r="R51" s="97">
        <f t="shared" si="14"/>
        <v>700</v>
      </c>
      <c r="S51" s="97">
        <f t="shared" si="15"/>
        <v>4200000000</v>
      </c>
      <c r="T51" s="97"/>
      <c r="U51" s="94"/>
      <c r="V51" s="94"/>
    </row>
    <row r="52" spans="1:32">
      <c r="A52" t="s">
        <v>5794</v>
      </c>
      <c r="B52" s="94"/>
      <c r="C52" s="94" t="s">
        <v>5100</v>
      </c>
      <c r="D52" s="94">
        <v>235</v>
      </c>
      <c r="E52" s="94">
        <v>1</v>
      </c>
      <c r="F52" s="94">
        <f t="shared" si="18"/>
        <v>235000000</v>
      </c>
      <c r="G52" s="94">
        <f t="shared" si="19"/>
        <v>2679</v>
      </c>
      <c r="O52" s="97" t="s">
        <v>5047</v>
      </c>
      <c r="P52" s="18">
        <v>-50000</v>
      </c>
      <c r="Q52" s="97">
        <v>3</v>
      </c>
      <c r="R52" s="97">
        <f t="shared" si="14"/>
        <v>692</v>
      </c>
      <c r="S52" s="97">
        <f t="shared" si="15"/>
        <v>-34600000</v>
      </c>
      <c r="T52" s="97"/>
      <c r="U52" s="94"/>
      <c r="V52" s="94"/>
    </row>
    <row r="53" spans="1:32">
      <c r="A53" s="94" t="s">
        <v>5795</v>
      </c>
      <c r="B53" s="94">
        <v>0.3</v>
      </c>
      <c r="C53" s="94" t="s">
        <v>5101</v>
      </c>
      <c r="D53" s="94">
        <v>500</v>
      </c>
      <c r="E53" s="94">
        <v>0.6</v>
      </c>
      <c r="F53" s="94">
        <f t="shared" si="18"/>
        <v>300000000</v>
      </c>
      <c r="G53" s="94">
        <f t="shared" si="19"/>
        <v>3420</v>
      </c>
      <c r="O53" s="97" t="s">
        <v>5050</v>
      </c>
      <c r="P53" s="18">
        <v>-20000</v>
      </c>
      <c r="Q53" s="97">
        <v>7</v>
      </c>
      <c r="R53" s="97">
        <f t="shared" si="14"/>
        <v>689</v>
      </c>
      <c r="S53" s="97">
        <f t="shared" si="15"/>
        <v>-13780000</v>
      </c>
      <c r="T53" s="97"/>
      <c r="U53" s="94"/>
      <c r="V53" s="94"/>
    </row>
    <row r="54" spans="1:32">
      <c r="A54" s="94" t="s">
        <v>5306</v>
      </c>
      <c r="B54" s="18">
        <v>36000000000000</v>
      </c>
      <c r="C54" s="94" t="s">
        <v>5102</v>
      </c>
      <c r="D54" s="94">
        <v>903</v>
      </c>
      <c r="E54" s="94">
        <v>1</v>
      </c>
      <c r="F54" s="94">
        <f t="shared" si="18"/>
        <v>903000000</v>
      </c>
      <c r="G54" s="94">
        <f>F54*11400/1000000000</f>
        <v>10294.200000000001</v>
      </c>
      <c r="H54">
        <v>1</v>
      </c>
      <c r="O54" s="97" t="s">
        <v>5009</v>
      </c>
      <c r="P54" s="18">
        <v>6000000</v>
      </c>
      <c r="Q54" s="97">
        <v>1</v>
      </c>
      <c r="R54" s="97">
        <f t="shared" si="14"/>
        <v>682</v>
      </c>
      <c r="S54" s="97">
        <f t="shared" si="15"/>
        <v>4092000000</v>
      </c>
      <c r="T54" s="97"/>
      <c r="U54" s="94"/>
      <c r="V54" s="94"/>
    </row>
    <row r="55" spans="1:32">
      <c r="A55" s="120" t="s">
        <v>4835</v>
      </c>
      <c r="B55" s="94">
        <v>18000000000</v>
      </c>
      <c r="E55" s="94"/>
      <c r="F55" s="94">
        <f t="shared" si="18"/>
        <v>0</v>
      </c>
      <c r="G55" s="94">
        <f t="shared" si="19"/>
        <v>0</v>
      </c>
      <c r="L55" t="s">
        <v>25</v>
      </c>
      <c r="N55" t="s">
        <v>25</v>
      </c>
      <c r="O55" s="97" t="s">
        <v>5066</v>
      </c>
      <c r="P55" s="18">
        <v>-2302282</v>
      </c>
      <c r="Q55" s="97">
        <v>6</v>
      </c>
      <c r="R55" s="97">
        <f t="shared" si="14"/>
        <v>681</v>
      </c>
      <c r="S55" s="97">
        <f t="shared" si="15"/>
        <v>-1567854042</v>
      </c>
      <c r="T55" s="97"/>
      <c r="U55" s="94"/>
      <c r="V55" s="94"/>
    </row>
    <row r="56" spans="1:32">
      <c r="A56" s="120" t="s">
        <v>5796</v>
      </c>
      <c r="B56" s="18">
        <f>B53*B54/B55</f>
        <v>600</v>
      </c>
      <c r="E56" s="94"/>
      <c r="F56" s="94"/>
      <c r="G56" s="94"/>
      <c r="O56" s="97" t="s">
        <v>5071</v>
      </c>
      <c r="P56" s="18">
        <v>100000</v>
      </c>
      <c r="Q56" s="97">
        <v>1</v>
      </c>
      <c r="R56" s="97">
        <f t="shared" si="14"/>
        <v>675</v>
      </c>
      <c r="S56" s="97">
        <f t="shared" si="15"/>
        <v>67500000</v>
      </c>
      <c r="T56" s="97"/>
      <c r="U56" s="94"/>
      <c r="V56" s="94"/>
    </row>
    <row r="57" spans="1:32">
      <c r="A57" s="120" t="s">
        <v>5797</v>
      </c>
      <c r="B57" s="120">
        <v>872000000</v>
      </c>
      <c r="E57" s="94"/>
      <c r="F57" s="94"/>
      <c r="G57" s="94"/>
      <c r="O57" s="97" t="s">
        <v>5074</v>
      </c>
      <c r="P57" s="18">
        <v>-1727718</v>
      </c>
      <c r="Q57" s="97">
        <v>2</v>
      </c>
      <c r="R57" s="97">
        <f t="shared" si="14"/>
        <v>674</v>
      </c>
      <c r="S57" s="97">
        <f t="shared" si="15"/>
        <v>-1164481932</v>
      </c>
      <c r="T57" s="97"/>
      <c r="U57" s="94"/>
      <c r="V57" s="94"/>
    </row>
    <row r="58" spans="1:32">
      <c r="A58" s="120" t="s">
        <v>5798</v>
      </c>
      <c r="B58" s="18">
        <v>750</v>
      </c>
      <c r="E58" s="94"/>
      <c r="F58" s="94"/>
      <c r="O58" s="97" t="s">
        <v>5078</v>
      </c>
      <c r="P58" s="18">
        <v>-1000000</v>
      </c>
      <c r="Q58" s="97">
        <v>0</v>
      </c>
      <c r="R58" s="97">
        <f t="shared" si="14"/>
        <v>672</v>
      </c>
      <c r="S58" s="97">
        <f t="shared" si="15"/>
        <v>-672000000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4"/>
        <v>672</v>
      </c>
      <c r="S59" s="97">
        <f t="shared" si="15"/>
        <v>-295142400</v>
      </c>
      <c r="T59" s="97"/>
      <c r="U59" s="94"/>
      <c r="V59" s="94"/>
    </row>
    <row r="60" spans="1:32">
      <c r="A60" s="120"/>
      <c r="B60" s="120"/>
      <c r="C60" s="94" t="s">
        <v>5095</v>
      </c>
      <c r="D60" s="94">
        <v>1000000</v>
      </c>
      <c r="E60" s="94"/>
      <c r="F60" s="94"/>
      <c r="M60" t="s">
        <v>25</v>
      </c>
      <c r="O60" s="97" t="s">
        <v>5081</v>
      </c>
      <c r="P60" s="18">
        <v>-3631879</v>
      </c>
      <c r="Q60" s="97">
        <v>3</v>
      </c>
      <c r="R60" s="97">
        <f t="shared" si="14"/>
        <v>671</v>
      </c>
      <c r="S60" s="97">
        <f t="shared" si="15"/>
        <v>-2436990809</v>
      </c>
      <c r="T60" s="97"/>
      <c r="U60" s="94"/>
      <c r="V60" s="94"/>
    </row>
    <row r="61" spans="1:32">
      <c r="A61" s="120"/>
      <c r="B61" s="18"/>
      <c r="C61" s="94" t="s">
        <v>5090</v>
      </c>
      <c r="D61" s="94" t="s">
        <v>5091</v>
      </c>
      <c r="E61" s="94"/>
      <c r="F61" s="94"/>
      <c r="M61" t="s">
        <v>25</v>
      </c>
      <c r="O61" s="97" t="s">
        <v>5106</v>
      </c>
      <c r="P61" s="18">
        <v>-2428921</v>
      </c>
      <c r="Q61" s="97">
        <v>9</v>
      </c>
      <c r="R61" s="97">
        <f t="shared" si="14"/>
        <v>668</v>
      </c>
      <c r="S61" s="97">
        <f t="shared" si="15"/>
        <v>-1622519228</v>
      </c>
      <c r="T61" s="97"/>
      <c r="U61" s="94"/>
      <c r="V61" s="94"/>
    </row>
    <row r="62" spans="1:32">
      <c r="A62" s="120"/>
      <c r="B62" s="94"/>
      <c r="E62" s="94"/>
      <c r="F62" s="94"/>
      <c r="O62" s="97" t="s">
        <v>5125</v>
      </c>
      <c r="P62" s="18">
        <v>-500000</v>
      </c>
      <c r="Q62" s="97">
        <v>1</v>
      </c>
      <c r="R62" s="97">
        <f t="shared" si="14"/>
        <v>659</v>
      </c>
      <c r="S62" s="97">
        <f t="shared" si="15"/>
        <v>-329500000</v>
      </c>
      <c r="T62" s="97"/>
      <c r="U62" s="94"/>
      <c r="V62" s="94"/>
    </row>
    <row r="63" spans="1:32">
      <c r="A63" s="94"/>
      <c r="B63" s="94"/>
      <c r="E63" s="94"/>
      <c r="F63" s="94"/>
      <c r="O63" s="97" t="s">
        <v>5126</v>
      </c>
      <c r="P63" s="18">
        <v>-2603</v>
      </c>
      <c r="Q63" s="97">
        <v>0</v>
      </c>
      <c r="R63" s="97">
        <f t="shared" si="14"/>
        <v>658</v>
      </c>
      <c r="S63" s="97">
        <f t="shared" si="15"/>
        <v>-1712774</v>
      </c>
      <c r="T63" s="97" t="s">
        <v>5127</v>
      </c>
      <c r="U63" s="94"/>
      <c r="V63" s="94"/>
    </row>
    <row r="64" spans="1:32">
      <c r="A64" s="94"/>
      <c r="B64" s="94"/>
      <c r="E64" s="94"/>
      <c r="F64" s="94"/>
      <c r="O64" s="97" t="s">
        <v>5126</v>
      </c>
      <c r="P64" s="18">
        <v>-250000</v>
      </c>
      <c r="Q64" s="97">
        <v>7</v>
      </c>
      <c r="R64" s="97">
        <f t="shared" si="14"/>
        <v>658</v>
      </c>
      <c r="S64" s="97">
        <f t="shared" si="15"/>
        <v>-164500000</v>
      </c>
      <c r="T64" s="97"/>
      <c r="U64" s="94"/>
      <c r="V64" s="94"/>
    </row>
    <row r="65" spans="1:22">
      <c r="A65" s="94"/>
      <c r="B65" s="94"/>
      <c r="E65" s="94"/>
      <c r="F65" s="94"/>
      <c r="O65" s="97" t="s">
        <v>4256</v>
      </c>
      <c r="P65" s="18">
        <v>185749</v>
      </c>
      <c r="Q65" s="97">
        <v>5</v>
      </c>
      <c r="R65" s="97">
        <f t="shared" si="14"/>
        <v>651</v>
      </c>
      <c r="S65" s="97">
        <f t="shared" si="15"/>
        <v>120922599</v>
      </c>
      <c r="T65" s="97"/>
      <c r="U65" s="94"/>
      <c r="V65" s="94"/>
    </row>
    <row r="66" spans="1:22">
      <c r="A66" s="94"/>
      <c r="B66" s="94" t="s">
        <v>4835</v>
      </c>
      <c r="C66" s="94" t="s">
        <v>4248</v>
      </c>
      <c r="D66" s="94" t="s">
        <v>4422</v>
      </c>
      <c r="E66" s="94" t="s">
        <v>5093</v>
      </c>
      <c r="F66" s="94" t="s">
        <v>5401</v>
      </c>
      <c r="O66" s="97" t="s">
        <v>5140</v>
      </c>
      <c r="P66" s="18">
        <v>300000</v>
      </c>
      <c r="Q66" s="97">
        <v>3</v>
      </c>
      <c r="R66" s="97">
        <f t="shared" si="14"/>
        <v>646</v>
      </c>
      <c r="S66" s="97">
        <f t="shared" si="15"/>
        <v>193800000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4"/>
        <v>643</v>
      </c>
      <c r="S67" s="97">
        <f t="shared" si="15"/>
        <v>-32150000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4"/>
        <v>640</v>
      </c>
      <c r="S68" s="97">
        <f t="shared" si="15"/>
        <v>-1077213440</v>
      </c>
      <c r="T68" s="97"/>
      <c r="U68" s="94"/>
      <c r="V68" s="94"/>
    </row>
    <row r="69" spans="1:22">
      <c r="A69" s="94"/>
      <c r="B69" s="94"/>
      <c r="E69" s="94"/>
      <c r="F69" s="94"/>
      <c r="O69" s="97" t="s">
        <v>5163</v>
      </c>
      <c r="P69" s="18">
        <v>700000</v>
      </c>
      <c r="Q69" s="97">
        <v>18</v>
      </c>
      <c r="R69" s="97">
        <f t="shared" si="14"/>
        <v>630</v>
      </c>
      <c r="S69" s="97">
        <f t="shared" si="15"/>
        <v>441000000</v>
      </c>
      <c r="T69" s="97"/>
      <c r="U69" s="94"/>
      <c r="V69" s="94"/>
    </row>
    <row r="70" spans="1:22">
      <c r="A70" s="94"/>
      <c r="B70" s="94"/>
      <c r="E70" s="94"/>
      <c r="F70" s="94"/>
      <c r="O70" s="97" t="s">
        <v>5176</v>
      </c>
      <c r="P70" s="18">
        <v>-700000</v>
      </c>
      <c r="Q70" s="97">
        <v>46</v>
      </c>
      <c r="R70" s="97">
        <f t="shared" si="14"/>
        <v>612</v>
      </c>
      <c r="S70" s="97">
        <f t="shared" si="15"/>
        <v>-428400000</v>
      </c>
      <c r="T70" s="97"/>
    </row>
    <row r="71" spans="1:22">
      <c r="A71" s="94"/>
      <c r="B71" s="94"/>
      <c r="E71" s="94"/>
      <c r="F71" s="94"/>
      <c r="O71" s="97" t="s">
        <v>5226</v>
      </c>
      <c r="P71" s="18">
        <v>1000000</v>
      </c>
      <c r="Q71" s="97">
        <v>4</v>
      </c>
      <c r="R71" s="97">
        <f t="shared" si="14"/>
        <v>566</v>
      </c>
      <c r="S71" s="97">
        <f t="shared" si="15"/>
        <v>566000000</v>
      </c>
      <c r="T71" s="97"/>
    </row>
    <row r="72" spans="1:22">
      <c r="A72" s="94"/>
      <c r="B72" s="94"/>
      <c r="E72" s="94"/>
      <c r="F72" s="94"/>
      <c r="O72" s="97" t="s">
        <v>5230</v>
      </c>
      <c r="P72" s="18">
        <v>1500000</v>
      </c>
      <c r="Q72" s="97">
        <v>1</v>
      </c>
      <c r="R72" s="97">
        <f t="shared" si="14"/>
        <v>562</v>
      </c>
      <c r="S72" s="97">
        <f t="shared" si="15"/>
        <v>843000000</v>
      </c>
      <c r="T72" s="97"/>
    </row>
    <row r="73" spans="1:22">
      <c r="A73" s="94" t="s">
        <v>5818</v>
      </c>
      <c r="B73" s="94"/>
      <c r="E73" s="94"/>
      <c r="F73" s="94"/>
      <c r="K73" t="s">
        <v>25</v>
      </c>
      <c r="O73" s="97" t="s">
        <v>5231</v>
      </c>
      <c r="P73" s="18">
        <v>-1500000</v>
      </c>
      <c r="Q73" s="97">
        <v>15</v>
      </c>
      <c r="R73" s="97">
        <f t="shared" si="14"/>
        <v>561</v>
      </c>
      <c r="S73" s="97">
        <f t="shared" si="15"/>
        <v>-841500000</v>
      </c>
      <c r="T73" s="97"/>
    </row>
    <row r="74" spans="1:22">
      <c r="A74" s="94" t="s">
        <v>5810</v>
      </c>
      <c r="B74" s="94"/>
      <c r="E74" s="94"/>
      <c r="F74" s="94"/>
      <c r="O74" s="97" t="s">
        <v>5254</v>
      </c>
      <c r="P74" s="18">
        <v>-100000</v>
      </c>
      <c r="Q74" s="97">
        <v>5</v>
      </c>
      <c r="R74" s="97">
        <f t="shared" si="14"/>
        <v>546</v>
      </c>
      <c r="S74" s="97">
        <f t="shared" si="15"/>
        <v>-54600000</v>
      </c>
      <c r="T74" s="97"/>
    </row>
    <row r="75" spans="1:22">
      <c r="A75" s="94" t="s">
        <v>5811</v>
      </c>
      <c r="B75" s="94"/>
      <c r="E75" s="94"/>
      <c r="F75" s="94"/>
      <c r="O75" s="97" t="s">
        <v>5258</v>
      </c>
      <c r="P75" s="18">
        <v>1164690</v>
      </c>
      <c r="Q75" s="97">
        <v>4</v>
      </c>
      <c r="R75" s="97">
        <f t="shared" si="14"/>
        <v>541</v>
      </c>
      <c r="S75" s="97">
        <f t="shared" si="15"/>
        <v>630097290</v>
      </c>
      <c r="T75" s="97"/>
      <c r="U75" t="s">
        <v>25</v>
      </c>
    </row>
    <row r="76" spans="1:22">
      <c r="A76" t="s">
        <v>5819</v>
      </c>
      <c r="B76" s="94"/>
      <c r="E76" s="94"/>
      <c r="F76" s="94"/>
      <c r="O76" s="97" t="s">
        <v>5267</v>
      </c>
      <c r="P76" s="18">
        <v>1000000</v>
      </c>
      <c r="Q76" s="97">
        <v>4</v>
      </c>
      <c r="R76" s="97">
        <f t="shared" si="14"/>
        <v>537</v>
      </c>
      <c r="S76" s="97">
        <f t="shared" si="15"/>
        <v>537000000</v>
      </c>
      <c r="T76" s="97"/>
    </row>
    <row r="77" spans="1:22">
      <c r="A77" t="s">
        <v>5499</v>
      </c>
      <c r="B77" s="94"/>
      <c r="E77" s="94"/>
      <c r="F77" s="94"/>
      <c r="O77" s="97" t="s">
        <v>5272</v>
      </c>
      <c r="P77" s="18">
        <v>-264690</v>
      </c>
      <c r="Q77" s="97">
        <v>7</v>
      </c>
      <c r="R77" s="97">
        <f t="shared" si="14"/>
        <v>533</v>
      </c>
      <c r="S77" s="97">
        <f t="shared" si="15"/>
        <v>-141079770</v>
      </c>
      <c r="T77" s="97"/>
    </row>
    <row r="78" spans="1:22">
      <c r="A78" s="94" t="s">
        <v>4845</v>
      </c>
      <c r="B78" s="94"/>
      <c r="E78" s="94"/>
      <c r="F78" s="94"/>
      <c r="O78" s="97" t="s">
        <v>5288</v>
      </c>
      <c r="P78" s="18">
        <v>2700000</v>
      </c>
      <c r="Q78" s="97">
        <v>0</v>
      </c>
      <c r="R78" s="97">
        <f t="shared" si="14"/>
        <v>526</v>
      </c>
      <c r="S78" s="97">
        <f t="shared" si="15"/>
        <v>1420200000</v>
      </c>
      <c r="T78" s="97"/>
    </row>
    <row r="79" spans="1:22">
      <c r="A79" s="94" t="s">
        <v>4844</v>
      </c>
      <c r="B79" s="94"/>
      <c r="E79" s="94"/>
      <c r="F79" s="94"/>
      <c r="N79" t="s">
        <v>25</v>
      </c>
      <c r="O79" s="97" t="s">
        <v>5288</v>
      </c>
      <c r="P79" s="18">
        <v>-1000000</v>
      </c>
      <c r="Q79" s="97">
        <v>1</v>
      </c>
      <c r="R79" s="97">
        <f t="shared" si="14"/>
        <v>526</v>
      </c>
      <c r="S79" s="97">
        <f t="shared" si="15"/>
        <v>-526000000</v>
      </c>
      <c r="T79" s="97" t="s">
        <v>5290</v>
      </c>
    </row>
    <row r="80" spans="1:22">
      <c r="A80" s="94" t="s">
        <v>5813</v>
      </c>
      <c r="B80" s="94"/>
      <c r="C80" s="94" t="s">
        <v>25</v>
      </c>
      <c r="E80" s="94"/>
      <c r="F80" s="94"/>
      <c r="O80" s="97" t="s">
        <v>5292</v>
      </c>
      <c r="P80" s="18">
        <v>-75616</v>
      </c>
      <c r="Q80" s="97">
        <v>2</v>
      </c>
      <c r="R80" s="97">
        <f t="shared" si="14"/>
        <v>525</v>
      </c>
      <c r="S80" s="97">
        <f t="shared" si="15"/>
        <v>-39698400</v>
      </c>
      <c r="T80" s="97" t="s">
        <v>5293</v>
      </c>
    </row>
    <row r="81" spans="1:23">
      <c r="A81" s="94" t="s">
        <v>5814</v>
      </c>
      <c r="B81" s="94"/>
      <c r="E81" s="94"/>
      <c r="F81" s="94"/>
      <c r="O81" s="97" t="s">
        <v>963</v>
      </c>
      <c r="P81" s="18">
        <v>-2424384</v>
      </c>
      <c r="Q81" s="97">
        <v>2</v>
      </c>
      <c r="R81" s="97">
        <f t="shared" si="14"/>
        <v>523</v>
      </c>
      <c r="S81" s="97">
        <f t="shared" si="15"/>
        <v>-1267952832</v>
      </c>
      <c r="T81" s="97"/>
      <c r="W81" t="s">
        <v>25</v>
      </c>
    </row>
    <row r="82" spans="1:23">
      <c r="A82" t="s">
        <v>5830</v>
      </c>
      <c r="B82" s="94"/>
      <c r="E82" s="94"/>
      <c r="F82" s="94"/>
      <c r="O82" s="97" t="s">
        <v>5307</v>
      </c>
      <c r="P82" s="18">
        <v>-2000000</v>
      </c>
      <c r="Q82" s="97">
        <v>6</v>
      </c>
      <c r="R82" s="97">
        <f t="shared" si="14"/>
        <v>521</v>
      </c>
      <c r="S82" s="97">
        <f t="shared" si="15"/>
        <v>-1042000000</v>
      </c>
      <c r="T82" s="97"/>
    </row>
    <row r="83" spans="1:23">
      <c r="A83" t="s">
        <v>4481</v>
      </c>
      <c r="B83" s="94"/>
      <c r="E83" s="94"/>
      <c r="F83" s="94"/>
      <c r="O83" s="97" t="s">
        <v>5340</v>
      </c>
      <c r="P83" s="18">
        <v>2500000</v>
      </c>
      <c r="Q83" s="97">
        <v>1</v>
      </c>
      <c r="R83" s="97">
        <f t="shared" si="14"/>
        <v>515</v>
      </c>
      <c r="S83" s="97">
        <f t="shared" si="15"/>
        <v>1287500000</v>
      </c>
      <c r="T83" s="97"/>
    </row>
    <row r="84" spans="1:23">
      <c r="A84" s="94" t="s">
        <v>4508</v>
      </c>
      <c r="B84" s="94"/>
      <c r="E84" s="94"/>
      <c r="F84" s="94"/>
      <c r="M84" t="s">
        <v>25</v>
      </c>
      <c r="O84" s="97" t="s">
        <v>5343</v>
      </c>
      <c r="P84" s="18">
        <v>3000000</v>
      </c>
      <c r="Q84" s="97">
        <v>3</v>
      </c>
      <c r="R84" s="97">
        <f t="shared" si="14"/>
        <v>514</v>
      </c>
      <c r="S84" s="97">
        <f t="shared" si="15"/>
        <v>1542000000</v>
      </c>
      <c r="T84" s="97"/>
    </row>
    <row r="85" spans="1:23">
      <c r="A85" s="94"/>
      <c r="B85" s="94"/>
      <c r="C85" s="94" t="s">
        <v>25</v>
      </c>
      <c r="E85" s="94"/>
      <c r="F85" s="94"/>
      <c r="O85" s="97" t="s">
        <v>5349</v>
      </c>
      <c r="P85" s="18">
        <v>-300000</v>
      </c>
      <c r="Q85" s="97">
        <v>5</v>
      </c>
      <c r="R85" s="97">
        <f t="shared" si="14"/>
        <v>511</v>
      </c>
      <c r="S85" s="97">
        <f t="shared" si="15"/>
        <v>-153300000</v>
      </c>
      <c r="T85" s="97"/>
    </row>
    <row r="86" spans="1:23">
      <c r="B86" s="94"/>
      <c r="E86" s="94"/>
      <c r="F86" s="94"/>
      <c r="O86" s="97" t="s">
        <v>5360</v>
      </c>
      <c r="P86" s="18">
        <v>500000</v>
      </c>
      <c r="Q86" s="97">
        <v>1</v>
      </c>
      <c r="R86" s="97">
        <f t="shared" si="14"/>
        <v>506</v>
      </c>
      <c r="S86" s="97">
        <f t="shared" si="15"/>
        <v>253000000</v>
      </c>
      <c r="T86" s="97"/>
    </row>
    <row r="87" spans="1:23">
      <c r="A87" s="94" t="s">
        <v>5812</v>
      </c>
      <c r="B87" s="94"/>
      <c r="E87" s="94"/>
      <c r="F87" s="94"/>
      <c r="O87" s="97" t="s">
        <v>5362</v>
      </c>
      <c r="P87" s="18">
        <v>1000000</v>
      </c>
      <c r="Q87" s="97">
        <v>5</v>
      </c>
      <c r="R87" s="97">
        <f t="shared" si="14"/>
        <v>505</v>
      </c>
      <c r="S87" s="97">
        <f t="shared" si="15"/>
        <v>505000000</v>
      </c>
      <c r="T87" s="97"/>
    </row>
    <row r="88" spans="1:23">
      <c r="A88" s="94" t="s">
        <v>5275</v>
      </c>
      <c r="B88" s="94"/>
      <c r="E88" s="94"/>
      <c r="F88" s="94"/>
      <c r="O88" s="97" t="s">
        <v>5367</v>
      </c>
      <c r="P88" s="18">
        <v>-2700000</v>
      </c>
      <c r="Q88" s="97">
        <v>1</v>
      </c>
      <c r="R88" s="97">
        <f t="shared" si="14"/>
        <v>500</v>
      </c>
      <c r="S88" s="97">
        <f t="shared" si="15"/>
        <v>-1350000000</v>
      </c>
      <c r="T88" s="97"/>
    </row>
    <row r="89" spans="1:23">
      <c r="A89" s="94" t="s">
        <v>5284</v>
      </c>
      <c r="B89" s="94"/>
      <c r="E89" s="94"/>
      <c r="F89" s="94"/>
      <c r="O89" s="97" t="s">
        <v>5368</v>
      </c>
      <c r="P89" s="18">
        <v>-3600000</v>
      </c>
      <c r="Q89" s="97">
        <v>1</v>
      </c>
      <c r="R89" s="97">
        <f t="shared" si="14"/>
        <v>499</v>
      </c>
      <c r="S89" s="97">
        <f t="shared" si="15"/>
        <v>-1796400000</v>
      </c>
      <c r="T89" s="97"/>
    </row>
    <row r="90" spans="1:23">
      <c r="A90" s="94" t="s">
        <v>5823</v>
      </c>
      <c r="B90" s="94"/>
      <c r="E90" s="94"/>
      <c r="F90" s="94"/>
      <c r="O90" s="97" t="s">
        <v>987</v>
      </c>
      <c r="P90" s="18">
        <v>-400000</v>
      </c>
      <c r="Q90" s="97">
        <v>17</v>
      </c>
      <c r="R90" s="97">
        <f t="shared" si="14"/>
        <v>498</v>
      </c>
      <c r="S90" s="97">
        <f t="shared" si="15"/>
        <v>-199200000</v>
      </c>
      <c r="T90" s="97"/>
    </row>
    <row r="91" spans="1:23">
      <c r="A91" s="94" t="s">
        <v>5289</v>
      </c>
      <c r="B91" s="94"/>
      <c r="E91" s="94"/>
      <c r="F91" s="94"/>
      <c r="M91" t="s">
        <v>25</v>
      </c>
      <c r="O91" s="97" t="s">
        <v>5388</v>
      </c>
      <c r="P91" s="18">
        <v>1000000</v>
      </c>
      <c r="Q91" s="97">
        <v>20</v>
      </c>
      <c r="R91" s="97">
        <f t="shared" si="14"/>
        <v>481</v>
      </c>
      <c r="S91" s="97">
        <f t="shared" si="15"/>
        <v>481000000</v>
      </c>
      <c r="T91" s="97"/>
    </row>
    <row r="92" spans="1:23">
      <c r="A92" s="94" t="s">
        <v>5824</v>
      </c>
      <c r="B92" s="94"/>
      <c r="E92" s="94"/>
      <c r="F92" s="94"/>
      <c r="O92" s="97" t="s">
        <v>5408</v>
      </c>
      <c r="P92" s="18">
        <v>-1000000</v>
      </c>
      <c r="Q92" s="97">
        <v>25</v>
      </c>
      <c r="R92" s="97">
        <f t="shared" si="14"/>
        <v>461</v>
      </c>
      <c r="S92" s="97">
        <f t="shared" si="15"/>
        <v>-461000000</v>
      </c>
      <c r="T92" s="97"/>
    </row>
    <row r="93" spans="1:23">
      <c r="A93" s="94" t="s">
        <v>5825</v>
      </c>
      <c r="B93" s="94"/>
      <c r="E93" s="94"/>
      <c r="F93" s="94"/>
      <c r="O93" s="97" t="s">
        <v>5437</v>
      </c>
      <c r="P93" s="18">
        <v>300000</v>
      </c>
      <c r="Q93" s="97">
        <v>3</v>
      </c>
      <c r="R93" s="97">
        <f t="shared" si="14"/>
        <v>436</v>
      </c>
      <c r="S93" s="97">
        <f t="shared" si="15"/>
        <v>130800000</v>
      </c>
      <c r="T93" s="97"/>
    </row>
    <row r="94" spans="1:23">
      <c r="A94" s="94" t="s">
        <v>5826</v>
      </c>
      <c r="B94" s="94"/>
      <c r="E94" s="94"/>
      <c r="F94" s="94"/>
      <c r="O94" s="97" t="s">
        <v>5442</v>
      </c>
      <c r="P94" s="18">
        <v>-300000</v>
      </c>
      <c r="Q94" s="97">
        <v>9</v>
      </c>
      <c r="R94" s="97">
        <f t="shared" si="14"/>
        <v>433</v>
      </c>
      <c r="S94" s="97">
        <f t="shared" si="15"/>
        <v>-129900000</v>
      </c>
      <c r="T94" s="97"/>
    </row>
    <row r="95" spans="1:23">
      <c r="A95" s="94" t="s">
        <v>4483</v>
      </c>
      <c r="B95" s="94"/>
      <c r="E95" s="94"/>
      <c r="F95" s="94"/>
      <c r="O95" s="97" t="s">
        <v>5457</v>
      </c>
      <c r="P95" s="18">
        <v>1000000</v>
      </c>
      <c r="Q95" s="97">
        <v>24</v>
      </c>
      <c r="R95" s="97">
        <f t="shared" si="14"/>
        <v>424</v>
      </c>
      <c r="S95" s="97">
        <f t="shared" si="15"/>
        <v>424000000</v>
      </c>
      <c r="T95" s="97"/>
      <c r="W95" t="s">
        <v>25</v>
      </c>
    </row>
    <row r="96" spans="1:23">
      <c r="A96" s="94" t="s">
        <v>4559</v>
      </c>
      <c r="B96" s="94" t="s">
        <v>25</v>
      </c>
      <c r="E96" s="94"/>
      <c r="F96" s="94"/>
      <c r="O96" s="97" t="s">
        <v>5494</v>
      </c>
      <c r="P96" s="18">
        <v>-1380100</v>
      </c>
      <c r="Q96" s="97">
        <v>11</v>
      </c>
      <c r="R96" s="97">
        <f t="shared" si="14"/>
        <v>400</v>
      </c>
      <c r="S96" s="97">
        <f t="shared" si="15"/>
        <v>-552040000</v>
      </c>
      <c r="T96" s="97"/>
    </row>
    <row r="97" spans="1:28">
      <c r="A97" s="94" t="s">
        <v>4719</v>
      </c>
      <c r="B97" s="94"/>
      <c r="E97" s="94"/>
      <c r="F97" s="94"/>
      <c r="O97" s="97" t="s">
        <v>5508</v>
      </c>
      <c r="P97" s="18">
        <v>1280015</v>
      </c>
      <c r="Q97" s="97">
        <v>0</v>
      </c>
      <c r="R97" s="97">
        <f t="shared" ref="R97:R164" si="20">Q97+R98</f>
        <v>389</v>
      </c>
      <c r="S97" s="97">
        <f t="shared" ref="S97:S144" si="21">P97*R97</f>
        <v>497925835</v>
      </c>
      <c r="T97" s="97"/>
    </row>
    <row r="98" spans="1:28">
      <c r="A98" s="94" t="s">
        <v>4661</v>
      </c>
      <c r="B98" s="94"/>
      <c r="E98" s="94"/>
      <c r="F98" s="94"/>
      <c r="M98" t="s">
        <v>25</v>
      </c>
      <c r="O98" s="97" t="s">
        <v>5508</v>
      </c>
      <c r="P98" s="18">
        <v>300000</v>
      </c>
      <c r="Q98" s="97">
        <v>7</v>
      </c>
      <c r="R98" s="97">
        <f t="shared" si="20"/>
        <v>389</v>
      </c>
      <c r="S98" s="97">
        <f t="shared" si="21"/>
        <v>116700000</v>
      </c>
      <c r="T98" s="97"/>
    </row>
    <row r="99" spans="1:28">
      <c r="A99" s="94"/>
      <c r="B99" s="94"/>
      <c r="E99" s="94"/>
      <c r="F99" s="94"/>
      <c r="L99" s="112"/>
      <c r="O99" s="97" t="s">
        <v>5515</v>
      </c>
      <c r="P99" s="18">
        <v>3000000</v>
      </c>
      <c r="Q99" s="97">
        <v>3</v>
      </c>
      <c r="R99" s="97">
        <f t="shared" si="20"/>
        <v>382</v>
      </c>
      <c r="S99" s="97">
        <f t="shared" si="21"/>
        <v>1146000000</v>
      </c>
      <c r="T99" s="97"/>
      <c r="AB99" t="s">
        <v>25</v>
      </c>
    </row>
    <row r="100" spans="1:28">
      <c r="A100" s="94"/>
      <c r="B100" s="94"/>
      <c r="E100" s="94"/>
      <c r="F100" s="94"/>
      <c r="O100" s="97" t="s">
        <v>5534</v>
      </c>
      <c r="P100" s="18">
        <v>300000</v>
      </c>
      <c r="Q100" s="97">
        <v>8</v>
      </c>
      <c r="R100" s="97">
        <f t="shared" si="20"/>
        <v>379</v>
      </c>
      <c r="S100" s="97">
        <f t="shared" si="21"/>
        <v>113700000</v>
      </c>
      <c r="T100" s="97"/>
    </row>
    <row r="101" spans="1:28">
      <c r="B101" s="94"/>
      <c r="E101" s="94"/>
      <c r="F101" s="94"/>
      <c r="O101" s="97" t="s">
        <v>5555</v>
      </c>
      <c r="P101" s="18">
        <v>-3500000</v>
      </c>
      <c r="Q101" s="97">
        <v>6</v>
      </c>
      <c r="R101" s="97">
        <f t="shared" si="20"/>
        <v>371</v>
      </c>
      <c r="S101" s="97">
        <f t="shared" si="21"/>
        <v>-1298500000</v>
      </c>
      <c r="T101" s="97"/>
    </row>
    <row r="102" spans="1:28">
      <c r="A102" s="94" t="s">
        <v>5817</v>
      </c>
      <c r="E102" s="94"/>
      <c r="F102" s="94"/>
      <c r="O102" s="97" t="s">
        <v>5560</v>
      </c>
      <c r="P102" s="18">
        <v>-70000</v>
      </c>
      <c r="Q102" s="97">
        <v>1</v>
      </c>
      <c r="R102" s="97">
        <f t="shared" si="20"/>
        <v>365</v>
      </c>
      <c r="S102" s="97">
        <f t="shared" si="21"/>
        <v>-25550000</v>
      </c>
      <c r="T102" s="97"/>
    </row>
    <row r="103" spans="1:28">
      <c r="A103" s="94" t="s">
        <v>5815</v>
      </c>
      <c r="E103" s="94"/>
      <c r="F103" s="94"/>
      <c r="O103" s="97" t="s">
        <v>5564</v>
      </c>
      <c r="P103" s="18">
        <v>70085</v>
      </c>
      <c r="Q103" s="97">
        <v>7</v>
      </c>
      <c r="R103" s="97">
        <f t="shared" si="20"/>
        <v>364</v>
      </c>
      <c r="S103" s="97">
        <f t="shared" si="21"/>
        <v>25510940</v>
      </c>
      <c r="T103" s="97" t="s">
        <v>5565</v>
      </c>
    </row>
    <row r="104" spans="1:28">
      <c r="A104" s="94" t="s">
        <v>5816</v>
      </c>
      <c r="E104" s="94"/>
      <c r="F104" s="94"/>
      <c r="O104" s="97" t="s">
        <v>5571</v>
      </c>
      <c r="P104" s="18">
        <v>-1000000</v>
      </c>
      <c r="Q104" s="97">
        <v>31</v>
      </c>
      <c r="R104" s="97">
        <f t="shared" si="20"/>
        <v>357</v>
      </c>
      <c r="S104" s="97">
        <f t="shared" si="21"/>
        <v>-357000000</v>
      </c>
      <c r="T104" s="97"/>
    </row>
    <row r="105" spans="1:28">
      <c r="A105" s="94" t="s">
        <v>5827</v>
      </c>
      <c r="E105" s="94"/>
      <c r="F105" s="94"/>
      <c r="O105" s="97" t="s">
        <v>5600</v>
      </c>
      <c r="P105" s="18">
        <v>6000000</v>
      </c>
      <c r="Q105" s="97">
        <v>1</v>
      </c>
      <c r="R105" s="97">
        <f t="shared" si="20"/>
        <v>326</v>
      </c>
      <c r="S105" s="97">
        <f t="shared" si="21"/>
        <v>1956000000</v>
      </c>
      <c r="T105" s="97"/>
      <c r="U105" t="s">
        <v>25</v>
      </c>
    </row>
    <row r="106" spans="1:28">
      <c r="A106" s="94" t="s">
        <v>5828</v>
      </c>
      <c r="E106" s="94"/>
      <c r="F106" s="94"/>
      <c r="O106" s="97" t="s">
        <v>5601</v>
      </c>
      <c r="P106" s="18">
        <v>6000000</v>
      </c>
      <c r="Q106" s="97">
        <v>11</v>
      </c>
      <c r="R106" s="97">
        <f t="shared" si="20"/>
        <v>325</v>
      </c>
      <c r="S106" s="97">
        <f t="shared" si="21"/>
        <v>1950000000</v>
      </c>
      <c r="T106" s="97"/>
    </row>
    <row r="107" spans="1:28">
      <c r="A107" s="94" t="s">
        <v>5829</v>
      </c>
      <c r="O107" s="97" t="s">
        <v>5616</v>
      </c>
      <c r="P107" s="18">
        <v>48000000</v>
      </c>
      <c r="Q107" s="97">
        <v>8</v>
      </c>
      <c r="R107" s="97">
        <f t="shared" si="20"/>
        <v>314</v>
      </c>
      <c r="S107" s="97">
        <f t="shared" si="21"/>
        <v>15072000000</v>
      </c>
      <c r="T107" s="97"/>
    </row>
    <row r="108" spans="1:28">
      <c r="A108" s="94"/>
      <c r="O108" s="97" t="s">
        <v>5633</v>
      </c>
      <c r="P108" s="18">
        <v>-400000</v>
      </c>
      <c r="Q108" s="97">
        <v>23</v>
      </c>
      <c r="R108" s="97">
        <f t="shared" si="20"/>
        <v>306</v>
      </c>
      <c r="S108" s="97">
        <f t="shared" si="21"/>
        <v>-122400000</v>
      </c>
      <c r="T108" s="97"/>
    </row>
    <row r="109" spans="1:28">
      <c r="A109" s="94" t="s">
        <v>5820</v>
      </c>
      <c r="O109" s="97" t="s">
        <v>5669</v>
      </c>
      <c r="P109" s="18">
        <v>500000</v>
      </c>
      <c r="Q109" s="97">
        <v>4</v>
      </c>
      <c r="R109" s="97">
        <f t="shared" si="20"/>
        <v>283</v>
      </c>
      <c r="S109" s="97">
        <f t="shared" si="21"/>
        <v>141500000</v>
      </c>
      <c r="T109" s="97"/>
    </row>
    <row r="110" spans="1:28">
      <c r="A110" t="s">
        <v>5821</v>
      </c>
      <c r="O110" s="97" t="s">
        <v>5673</v>
      </c>
      <c r="P110" s="18">
        <v>-500000</v>
      </c>
      <c r="Q110" s="97">
        <v>48</v>
      </c>
      <c r="R110" s="97">
        <f t="shared" si="20"/>
        <v>279</v>
      </c>
      <c r="S110" s="97">
        <f t="shared" si="21"/>
        <v>-139500000</v>
      </c>
      <c r="T110" s="97"/>
      <c r="V110" t="s">
        <v>25</v>
      </c>
    </row>
    <row r="111" spans="1:28">
      <c r="A111" s="94" t="s">
        <v>5822</v>
      </c>
      <c r="O111" s="97" t="s">
        <v>5731</v>
      </c>
      <c r="P111" s="18">
        <v>2000000</v>
      </c>
      <c r="Q111" s="97">
        <v>11</v>
      </c>
      <c r="R111" s="97">
        <f t="shared" si="20"/>
        <v>231</v>
      </c>
      <c r="S111" s="97">
        <f t="shared" si="21"/>
        <v>462000000</v>
      </c>
      <c r="T111" s="97"/>
    </row>
    <row r="112" spans="1:28">
      <c r="A112" s="94"/>
      <c r="O112" s="97" t="s">
        <v>5745</v>
      </c>
      <c r="P112" s="18">
        <v>-2000000</v>
      </c>
      <c r="Q112" s="97">
        <v>1</v>
      </c>
      <c r="R112" s="97">
        <f t="shared" si="20"/>
        <v>220</v>
      </c>
      <c r="S112" s="97">
        <f t="shared" si="21"/>
        <v>-440000000</v>
      </c>
      <c r="T112" s="97"/>
      <c r="V112" t="s">
        <v>25</v>
      </c>
    </row>
    <row r="113" spans="1:25">
      <c r="O113" s="97" t="s">
        <v>5747</v>
      </c>
      <c r="P113" s="18">
        <v>-42203</v>
      </c>
      <c r="Q113" s="97">
        <v>2</v>
      </c>
      <c r="R113" s="97">
        <f t="shared" si="20"/>
        <v>219</v>
      </c>
      <c r="S113" s="97">
        <f t="shared" si="21"/>
        <v>-9242457</v>
      </c>
      <c r="T113" s="97" t="s">
        <v>5752</v>
      </c>
    </row>
    <row r="114" spans="1:25">
      <c r="A114" s="94"/>
      <c r="O114" s="97" t="s">
        <v>5755</v>
      </c>
      <c r="P114" s="18">
        <v>-365000</v>
      </c>
      <c r="Q114" s="97">
        <v>5</v>
      </c>
      <c r="R114" s="97">
        <f t="shared" si="20"/>
        <v>217</v>
      </c>
      <c r="S114" s="97">
        <f t="shared" si="21"/>
        <v>-79205000</v>
      </c>
      <c r="T114" s="97" t="s">
        <v>5756</v>
      </c>
    </row>
    <row r="115" spans="1:25">
      <c r="A115" s="94"/>
      <c r="O115" s="97" t="s">
        <v>5762</v>
      </c>
      <c r="P115" s="18">
        <v>12000000</v>
      </c>
      <c r="Q115" s="97">
        <v>9</v>
      </c>
      <c r="R115" s="97">
        <f t="shared" si="20"/>
        <v>212</v>
      </c>
      <c r="S115" s="97">
        <f t="shared" si="21"/>
        <v>2544000000</v>
      </c>
      <c r="T115" s="97" t="s">
        <v>5763</v>
      </c>
      <c r="Y115" t="s">
        <v>25</v>
      </c>
    </row>
    <row r="116" spans="1:25">
      <c r="M116" t="s">
        <v>25</v>
      </c>
      <c r="O116" s="97" t="s">
        <v>5775</v>
      </c>
      <c r="P116" s="18">
        <v>-4000000</v>
      </c>
      <c r="Q116" s="97">
        <v>1</v>
      </c>
      <c r="R116" s="97">
        <f t="shared" si="20"/>
        <v>203</v>
      </c>
      <c r="S116" s="97">
        <f t="shared" si="21"/>
        <v>-812000000</v>
      </c>
      <c r="T116" s="97"/>
    </row>
    <row r="117" spans="1:25">
      <c r="A117" s="94"/>
      <c r="O117" s="97" t="s">
        <v>5779</v>
      </c>
      <c r="P117" s="18">
        <v>-5000000</v>
      </c>
      <c r="Q117" s="97">
        <v>2</v>
      </c>
      <c r="R117" s="97">
        <f>Q117+R118</f>
        <v>202</v>
      </c>
      <c r="S117" s="97">
        <f t="shared" si="21"/>
        <v>-1010000000</v>
      </c>
      <c r="T117" s="97"/>
    </row>
    <row r="118" spans="1:25">
      <c r="A118" s="94"/>
      <c r="O118" s="97" t="s">
        <v>5777</v>
      </c>
      <c r="P118" s="18">
        <v>-2500000</v>
      </c>
      <c r="Q118" s="97">
        <v>1</v>
      </c>
      <c r="R118" s="97">
        <f t="shared" si="20"/>
        <v>200</v>
      </c>
      <c r="S118" s="97">
        <f t="shared" si="21"/>
        <v>-500000000</v>
      </c>
      <c r="T118" s="97"/>
    </row>
    <row r="119" spans="1:25">
      <c r="O119" s="97" t="s">
        <v>5778</v>
      </c>
      <c r="P119" s="18">
        <v>-500000</v>
      </c>
      <c r="Q119" s="97">
        <v>17</v>
      </c>
      <c r="R119" s="97">
        <f t="shared" si="20"/>
        <v>199</v>
      </c>
      <c r="S119" s="97">
        <f t="shared" si="21"/>
        <v>-99500000</v>
      </c>
      <c r="T119" s="97"/>
    </row>
    <row r="120" spans="1:25">
      <c r="O120" s="97" t="s">
        <v>5780</v>
      </c>
      <c r="P120" s="18">
        <v>-192797</v>
      </c>
      <c r="Q120" s="97">
        <v>15</v>
      </c>
      <c r="R120" s="97">
        <f t="shared" si="20"/>
        <v>182</v>
      </c>
      <c r="S120" s="97">
        <f t="shared" si="21"/>
        <v>-35089054</v>
      </c>
      <c r="T120" s="97"/>
    </row>
    <row r="121" spans="1:25">
      <c r="O121" s="97" t="s">
        <v>5785</v>
      </c>
      <c r="P121" s="18">
        <v>2000000</v>
      </c>
      <c r="Q121" s="97">
        <v>12</v>
      </c>
      <c r="R121" s="97">
        <f t="shared" si="20"/>
        <v>167</v>
      </c>
      <c r="S121" s="97">
        <f t="shared" si="21"/>
        <v>334000000</v>
      </c>
      <c r="T121" s="97"/>
    </row>
    <row r="122" spans="1:25">
      <c r="N122" t="s">
        <v>25</v>
      </c>
      <c r="O122" s="97" t="s">
        <v>5792</v>
      </c>
      <c r="P122" s="18">
        <v>-2000000</v>
      </c>
      <c r="Q122" s="97">
        <v>0</v>
      </c>
      <c r="R122" s="97">
        <f t="shared" si="20"/>
        <v>155</v>
      </c>
      <c r="S122" s="97">
        <f t="shared" si="21"/>
        <v>-310000000</v>
      </c>
      <c r="T122" s="97"/>
    </row>
    <row r="123" spans="1:25">
      <c r="O123" s="97" t="s">
        <v>5792</v>
      </c>
      <c r="P123" s="18">
        <v>-4000000</v>
      </c>
      <c r="Q123" s="97">
        <v>1</v>
      </c>
      <c r="R123" s="97">
        <f t="shared" si="20"/>
        <v>155</v>
      </c>
      <c r="S123" s="97">
        <f t="shared" si="21"/>
        <v>-620000000</v>
      </c>
      <c r="T123" s="97"/>
    </row>
    <row r="124" spans="1:25">
      <c r="O124" s="97" t="s">
        <v>5793</v>
      </c>
      <c r="P124" s="18">
        <v>-3000000</v>
      </c>
      <c r="Q124" s="97">
        <v>3</v>
      </c>
      <c r="R124" s="97">
        <f t="shared" si="20"/>
        <v>154</v>
      </c>
      <c r="S124" s="97">
        <f t="shared" si="21"/>
        <v>-462000000</v>
      </c>
      <c r="T124" s="97"/>
    </row>
    <row r="125" spans="1:25">
      <c r="O125" s="97" t="s">
        <v>5800</v>
      </c>
      <c r="P125" s="18">
        <v>-6000000</v>
      </c>
      <c r="Q125" s="97">
        <v>1</v>
      </c>
      <c r="R125" s="97">
        <f t="shared" si="20"/>
        <v>151</v>
      </c>
      <c r="S125" s="97">
        <f t="shared" si="21"/>
        <v>-906000000</v>
      </c>
      <c r="T125" s="97"/>
    </row>
    <row r="126" spans="1:25">
      <c r="O126" s="97" t="s">
        <v>5803</v>
      </c>
      <c r="P126" s="18">
        <v>-10000000</v>
      </c>
      <c r="Q126" s="97">
        <v>0</v>
      </c>
      <c r="R126" s="97">
        <f t="shared" si="20"/>
        <v>150</v>
      </c>
      <c r="S126" s="97">
        <f t="shared" si="21"/>
        <v>-1500000000</v>
      </c>
      <c r="T126" s="97"/>
    </row>
    <row r="127" spans="1:25">
      <c r="O127" s="97" t="s">
        <v>5803</v>
      </c>
      <c r="P127" s="18">
        <v>-5500000</v>
      </c>
      <c r="Q127" s="97">
        <v>1</v>
      </c>
      <c r="R127" s="97">
        <f t="shared" si="20"/>
        <v>150</v>
      </c>
      <c r="S127" s="97">
        <f t="shared" si="21"/>
        <v>-825000000</v>
      </c>
      <c r="T127" s="97"/>
    </row>
    <row r="128" spans="1:25">
      <c r="O128" s="97" t="s">
        <v>5804</v>
      </c>
      <c r="P128" s="18">
        <v>-1500000</v>
      </c>
      <c r="Q128" s="97">
        <v>9</v>
      </c>
      <c r="R128" s="97">
        <f t="shared" si="20"/>
        <v>149</v>
      </c>
      <c r="S128" s="97">
        <f t="shared" si="21"/>
        <v>-223500000</v>
      </c>
      <c r="T128" s="97"/>
    </row>
    <row r="129" spans="1:23">
      <c r="O129" s="97" t="s">
        <v>5831</v>
      </c>
      <c r="P129" s="18">
        <v>-22545000</v>
      </c>
      <c r="Q129" s="97">
        <v>18</v>
      </c>
      <c r="R129" s="97">
        <f t="shared" si="20"/>
        <v>140</v>
      </c>
      <c r="S129" s="97">
        <f t="shared" si="21"/>
        <v>-3156300000</v>
      </c>
      <c r="T129" s="97" t="s">
        <v>5835</v>
      </c>
    </row>
    <row r="130" spans="1:23">
      <c r="O130" s="97" t="s">
        <v>5848</v>
      </c>
      <c r="P130" s="18">
        <v>5000000</v>
      </c>
      <c r="Q130" s="97">
        <v>9</v>
      </c>
      <c r="R130" s="97">
        <f t="shared" si="20"/>
        <v>122</v>
      </c>
      <c r="S130" s="97">
        <f t="shared" si="21"/>
        <v>610000000</v>
      </c>
      <c r="T130" s="97"/>
    </row>
    <row r="131" spans="1:23">
      <c r="O131" s="97" t="s">
        <v>5857</v>
      </c>
      <c r="P131" s="18">
        <v>3000000</v>
      </c>
      <c r="Q131" s="97">
        <v>0</v>
      </c>
      <c r="R131" s="97">
        <f t="shared" si="20"/>
        <v>113</v>
      </c>
      <c r="S131" s="97">
        <f t="shared" si="21"/>
        <v>339000000</v>
      </c>
      <c r="T131" s="97"/>
      <c r="W131" t="s">
        <v>25</v>
      </c>
    </row>
    <row r="132" spans="1:23">
      <c r="O132" s="97" t="s">
        <v>5857</v>
      </c>
      <c r="P132" s="18">
        <v>-3000000</v>
      </c>
      <c r="Q132" s="97">
        <v>1</v>
      </c>
      <c r="R132" s="97">
        <f t="shared" si="20"/>
        <v>113</v>
      </c>
      <c r="S132" s="97">
        <f t="shared" si="21"/>
        <v>-339000000</v>
      </c>
      <c r="T132" s="97"/>
    </row>
    <row r="133" spans="1:23">
      <c r="O133" s="97" t="s">
        <v>5858</v>
      </c>
      <c r="P133" s="18">
        <v>-11455000</v>
      </c>
      <c r="Q133" s="97">
        <v>14</v>
      </c>
      <c r="R133" s="97">
        <f t="shared" si="20"/>
        <v>112</v>
      </c>
      <c r="S133" s="97">
        <f t="shared" si="21"/>
        <v>-1282960000</v>
      </c>
      <c r="T133" s="97"/>
    </row>
    <row r="134" spans="1:23">
      <c r="O134" s="97" t="s">
        <v>6435</v>
      </c>
      <c r="P134" s="18">
        <v>2317100</v>
      </c>
      <c r="Q134" s="97">
        <v>3</v>
      </c>
      <c r="R134" s="97">
        <f t="shared" si="20"/>
        <v>98</v>
      </c>
      <c r="S134" s="97">
        <f t="shared" si="21"/>
        <v>227075800</v>
      </c>
      <c r="T134" s="97"/>
    </row>
    <row r="135" spans="1:23">
      <c r="O135" s="97" t="s">
        <v>6437</v>
      </c>
      <c r="P135" s="18">
        <v>699000</v>
      </c>
      <c r="Q135" s="97">
        <v>3</v>
      </c>
      <c r="R135" s="97">
        <f t="shared" si="20"/>
        <v>95</v>
      </c>
      <c r="S135" s="97">
        <f t="shared" si="21"/>
        <v>66405000</v>
      </c>
      <c r="T135" s="97"/>
    </row>
    <row r="136" spans="1:23">
      <c r="O136" s="97" t="s">
        <v>6443</v>
      </c>
      <c r="P136" s="18">
        <v>-1016100</v>
      </c>
      <c r="Q136" s="97">
        <v>5</v>
      </c>
      <c r="R136" s="97">
        <f t="shared" si="20"/>
        <v>92</v>
      </c>
      <c r="S136" s="97">
        <f t="shared" si="21"/>
        <v>-93481200</v>
      </c>
      <c r="T136" s="97"/>
    </row>
    <row r="137" spans="1:23">
      <c r="A137" s="299" t="s">
        <v>180</v>
      </c>
      <c r="B137" s="300" t="s">
        <v>5880</v>
      </c>
      <c r="C137" s="32" t="s">
        <v>5881</v>
      </c>
      <c r="D137" s="32" t="s">
        <v>5882</v>
      </c>
      <c r="E137" s="32" t="s">
        <v>5883</v>
      </c>
      <c r="F137" s="32" t="s">
        <v>5884</v>
      </c>
      <c r="G137" s="32" t="s">
        <v>5323</v>
      </c>
      <c r="H137" s="32" t="s">
        <v>5885</v>
      </c>
      <c r="I137" s="279" t="s">
        <v>5886</v>
      </c>
      <c r="O137" s="97" t="s">
        <v>6451</v>
      </c>
      <c r="P137" s="18">
        <v>-680000</v>
      </c>
      <c r="Q137" s="97">
        <v>3</v>
      </c>
      <c r="R137" s="97">
        <f t="shared" si="20"/>
        <v>87</v>
      </c>
      <c r="S137" s="97">
        <f t="shared" si="21"/>
        <v>-59160000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6452</v>
      </c>
      <c r="P138" s="18">
        <v>-216000</v>
      </c>
      <c r="Q138" s="97">
        <v>3</v>
      </c>
      <c r="R138" s="97">
        <f t="shared" si="20"/>
        <v>84</v>
      </c>
      <c r="S138" s="97">
        <f t="shared" si="21"/>
        <v>-18144000</v>
      </c>
      <c r="T138" s="97"/>
    </row>
    <row r="139" spans="1:23">
      <c r="A139" s="299" t="s">
        <v>4744</v>
      </c>
      <c r="B139" s="18"/>
      <c r="C139" s="18"/>
      <c r="D139" s="18"/>
      <c r="E139" s="18"/>
      <c r="F139" s="32">
        <f>F138+I139</f>
        <v>419590.64327485382</v>
      </c>
      <c r="G139" s="32">
        <v>25</v>
      </c>
      <c r="H139" s="32">
        <v>180</v>
      </c>
      <c r="I139" s="305">
        <f>G139*F138/H139</f>
        <v>51169.59064327486</v>
      </c>
      <c r="O139" s="97" t="s">
        <v>6454</v>
      </c>
      <c r="P139" s="18">
        <v>-619000</v>
      </c>
      <c r="Q139" s="97">
        <v>3</v>
      </c>
      <c r="R139" s="97">
        <f t="shared" si="20"/>
        <v>81</v>
      </c>
      <c r="S139" s="97">
        <f t="shared" si="21"/>
        <v>-50139000</v>
      </c>
      <c r="T139" s="97"/>
    </row>
    <row r="140" spans="1:23">
      <c r="A140" s="299" t="s">
        <v>5428</v>
      </c>
      <c r="B140" s="18"/>
      <c r="C140" s="18"/>
      <c r="D140" s="18"/>
      <c r="E140" s="18"/>
      <c r="F140" s="32">
        <f>F139+I140</f>
        <v>441232.68698060943</v>
      </c>
      <c r="G140" s="32">
        <v>49</v>
      </c>
      <c r="H140" s="32">
        <v>950</v>
      </c>
      <c r="I140" s="305">
        <f>F139*G140/H140</f>
        <v>21642.043705755616</v>
      </c>
      <c r="O140" s="144" t="s">
        <v>6466</v>
      </c>
      <c r="P140" s="240">
        <v>-485000</v>
      </c>
      <c r="Q140" s="144">
        <v>11</v>
      </c>
      <c r="R140" s="97">
        <f t="shared" si="20"/>
        <v>78</v>
      </c>
      <c r="S140" s="97">
        <f t="shared" si="21"/>
        <v>-37830000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6475</v>
      </c>
      <c r="P141" s="18">
        <v>3000000</v>
      </c>
      <c r="Q141" s="97">
        <v>1</v>
      </c>
      <c r="R141" s="97">
        <f t="shared" si="20"/>
        <v>67</v>
      </c>
      <c r="S141" s="97">
        <f t="shared" si="21"/>
        <v>201000000</v>
      </c>
      <c r="T141" s="97"/>
    </row>
    <row r="142" spans="1:23">
      <c r="A142" s="9"/>
      <c r="B142" s="18"/>
      <c r="O142" s="97" t="s">
        <v>6477</v>
      </c>
      <c r="P142" s="18">
        <v>255000</v>
      </c>
      <c r="Q142" s="97">
        <v>1</v>
      </c>
      <c r="R142" s="97">
        <f t="shared" si="20"/>
        <v>66</v>
      </c>
      <c r="S142" s="97">
        <f t="shared" si="21"/>
        <v>16830000</v>
      </c>
      <c r="T142" s="97" t="s">
        <v>6478</v>
      </c>
    </row>
    <row r="143" spans="1:23">
      <c r="A143" s="299"/>
      <c r="B143" s="301" t="s">
        <v>5887</v>
      </c>
      <c r="C143" s="18"/>
      <c r="D143" s="18" t="s">
        <v>5888</v>
      </c>
      <c r="E143" s="18"/>
      <c r="F143" s="18" t="s">
        <v>5889</v>
      </c>
      <c r="G143" s="32"/>
      <c r="H143" s="32"/>
      <c r="I143" s="207"/>
      <c r="O143" s="97" t="s">
        <v>6479</v>
      </c>
      <c r="P143" s="18">
        <v>-3255000</v>
      </c>
      <c r="Q143" s="97">
        <v>9</v>
      </c>
      <c r="R143" s="97">
        <f t="shared" si="20"/>
        <v>65</v>
      </c>
      <c r="S143" s="97">
        <f t="shared" si="21"/>
        <v>-211575000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6495</v>
      </c>
      <c r="P144" s="18">
        <v>60000000</v>
      </c>
      <c r="Q144" s="97">
        <v>19</v>
      </c>
      <c r="R144" s="97">
        <f t="shared" si="20"/>
        <v>56</v>
      </c>
      <c r="S144" s="97">
        <f t="shared" si="21"/>
        <v>3360000000</v>
      </c>
      <c r="T144" s="97"/>
    </row>
    <row r="145" spans="1:25">
      <c r="A145" s="94"/>
      <c r="B145" s="94"/>
      <c r="E145" s="94"/>
      <c r="F145" s="94"/>
      <c r="G145" s="94"/>
      <c r="H145" s="94"/>
      <c r="I145" s="94"/>
      <c r="J145" s="94"/>
      <c r="O145" s="97" t="s">
        <v>6503</v>
      </c>
      <c r="P145" s="18">
        <v>473628</v>
      </c>
      <c r="Q145" s="97">
        <v>2</v>
      </c>
      <c r="R145" s="97">
        <f t="shared" ref="R145:R147" si="22">Q145+R146</f>
        <v>37</v>
      </c>
      <c r="S145" s="97">
        <f t="shared" ref="S145:S147" si="23">P145*R145</f>
        <v>17524236</v>
      </c>
      <c r="T145" s="97" t="s">
        <v>6504</v>
      </c>
    </row>
    <row r="146" spans="1:25">
      <c r="A146" s="94"/>
      <c r="B146" s="94"/>
      <c r="E146" s="94"/>
      <c r="F146" s="94"/>
      <c r="G146" s="94"/>
      <c r="H146" s="94"/>
      <c r="I146" s="94" t="s">
        <v>25</v>
      </c>
      <c r="J146" s="94"/>
      <c r="O146" s="97" t="s">
        <v>6505</v>
      </c>
      <c r="P146" s="18">
        <v>-473628</v>
      </c>
      <c r="Q146" s="97">
        <v>1</v>
      </c>
      <c r="R146" s="97">
        <f t="shared" si="22"/>
        <v>35</v>
      </c>
      <c r="S146" s="97">
        <f t="shared" si="23"/>
        <v>-16576980</v>
      </c>
      <c r="T146" s="97"/>
    </row>
    <row r="147" spans="1:25">
      <c r="A147" s="94"/>
      <c r="B147" s="94"/>
      <c r="E147" s="94"/>
      <c r="F147" s="94"/>
      <c r="G147" s="94"/>
      <c r="H147" s="94"/>
      <c r="I147" s="94"/>
      <c r="J147" s="94"/>
      <c r="O147" s="97" t="s">
        <v>6507</v>
      </c>
      <c r="P147" s="18">
        <v>-6000000</v>
      </c>
      <c r="Q147" s="97">
        <v>3</v>
      </c>
      <c r="R147" s="97">
        <f t="shared" si="22"/>
        <v>34</v>
      </c>
      <c r="S147" s="97">
        <f t="shared" si="23"/>
        <v>-204000000</v>
      </c>
      <c r="T147" s="97"/>
    </row>
    <row r="148" spans="1:25">
      <c r="A148" s="309" t="s">
        <v>6433</v>
      </c>
      <c r="B148" s="310" t="s">
        <v>6431</v>
      </c>
      <c r="C148" s="32" t="s">
        <v>6450</v>
      </c>
      <c r="D148" s="239" t="s">
        <v>1100</v>
      </c>
      <c r="E148" s="32" t="s">
        <v>6432</v>
      </c>
      <c r="F148" s="207" t="s">
        <v>5881</v>
      </c>
      <c r="G148" s="207" t="s">
        <v>6449</v>
      </c>
      <c r="H148" s="94"/>
      <c r="I148" s="94"/>
      <c r="J148" s="94"/>
      <c r="M148" t="s">
        <v>25</v>
      </c>
      <c r="O148" s="97" t="s">
        <v>6510</v>
      </c>
      <c r="P148" s="18">
        <v>-475000</v>
      </c>
      <c r="Q148" s="97">
        <v>1</v>
      </c>
      <c r="R148" s="97">
        <f t="shared" ref="R148:R155" si="24">Q148+R149</f>
        <v>31</v>
      </c>
      <c r="S148" s="97">
        <f t="shared" ref="S148:S155" si="25">P148*R148</f>
        <v>-14725000</v>
      </c>
      <c r="T148" s="97" t="s">
        <v>6511</v>
      </c>
      <c r="W148" t="s">
        <v>25</v>
      </c>
    </row>
    <row r="149" spans="1:25">
      <c r="A149" s="309">
        <v>1390</v>
      </c>
      <c r="B149" s="310">
        <v>354</v>
      </c>
      <c r="C149" s="32"/>
      <c r="D149" s="239">
        <v>1900</v>
      </c>
      <c r="E149" s="32">
        <f t="shared" ref="E149:E154" si="26">B149*1000/D149</f>
        <v>186.31578947368422</v>
      </c>
      <c r="F149" s="18">
        <v>700000</v>
      </c>
      <c r="G149" s="207">
        <f t="shared" ref="G149:G154" si="27">B149*1000*1000/F149</f>
        <v>505.71428571428572</v>
      </c>
      <c r="H149" s="94"/>
      <c r="I149" s="94"/>
      <c r="J149" s="94"/>
      <c r="O149" s="97" t="s">
        <v>6512</v>
      </c>
      <c r="P149" s="18">
        <v>-837000</v>
      </c>
      <c r="Q149" s="97">
        <v>1</v>
      </c>
      <c r="R149" s="97">
        <f t="shared" si="24"/>
        <v>30</v>
      </c>
      <c r="S149" s="97">
        <f t="shared" si="25"/>
        <v>-25110000</v>
      </c>
      <c r="T149" s="97" t="s">
        <v>6511</v>
      </c>
    </row>
    <row r="150" spans="1:25">
      <c r="A150" s="309">
        <v>1391</v>
      </c>
      <c r="B150" s="310">
        <v>460</v>
      </c>
      <c r="C150" s="32">
        <f>(B150-B149)*100/B149</f>
        <v>29.943502824858758</v>
      </c>
      <c r="D150" s="239">
        <v>3200</v>
      </c>
      <c r="E150" s="32">
        <f t="shared" si="26"/>
        <v>143.75</v>
      </c>
      <c r="F150" s="18">
        <v>1200000</v>
      </c>
      <c r="G150" s="207">
        <f t="shared" si="27"/>
        <v>383.33333333333331</v>
      </c>
      <c r="H150" s="94"/>
      <c r="I150" s="94" t="s">
        <v>25</v>
      </c>
      <c r="J150" s="94"/>
      <c r="O150" s="97" t="s">
        <v>6513</v>
      </c>
      <c r="P150" s="18">
        <v>-493000</v>
      </c>
      <c r="Q150" s="97">
        <v>1</v>
      </c>
      <c r="R150" s="97">
        <f t="shared" si="24"/>
        <v>29</v>
      </c>
      <c r="S150" s="97">
        <f t="shared" si="25"/>
        <v>-14297000</v>
      </c>
      <c r="T150" s="97" t="s">
        <v>6511</v>
      </c>
    </row>
    <row r="151" spans="1:25">
      <c r="A151" s="309">
        <v>1392</v>
      </c>
      <c r="B151" s="310">
        <v>640</v>
      </c>
      <c r="C151" s="32">
        <f t="shared" ref="C151:C155" si="28">(B151-B150)*100/B150</f>
        <v>39.130434782608695</v>
      </c>
      <c r="D151" s="239">
        <v>3100</v>
      </c>
      <c r="E151" s="32">
        <f t="shared" si="26"/>
        <v>206.45161290322579</v>
      </c>
      <c r="F151" s="18">
        <v>970000</v>
      </c>
      <c r="G151" s="207">
        <f t="shared" si="27"/>
        <v>659.79381443298973</v>
      </c>
      <c r="H151" s="94"/>
      <c r="I151" s="94" t="s">
        <v>25</v>
      </c>
      <c r="J151" s="94" t="s">
        <v>25</v>
      </c>
      <c r="O151" s="37" t="s">
        <v>6514</v>
      </c>
      <c r="P151" s="18">
        <v>54000</v>
      </c>
      <c r="Q151" s="97">
        <v>3</v>
      </c>
      <c r="R151" s="97">
        <f t="shared" si="24"/>
        <v>28</v>
      </c>
      <c r="S151" s="97">
        <f t="shared" si="25"/>
        <v>1512000</v>
      </c>
      <c r="T151" s="97" t="s">
        <v>6515</v>
      </c>
      <c r="Y151" t="s">
        <v>25</v>
      </c>
    </row>
    <row r="152" spans="1:25">
      <c r="A152" s="309">
        <v>1393</v>
      </c>
      <c r="B152" s="310">
        <v>782</v>
      </c>
      <c r="C152" s="32">
        <f t="shared" si="28"/>
        <v>22.1875</v>
      </c>
      <c r="D152" s="239">
        <v>3300</v>
      </c>
      <c r="E152" s="32">
        <f t="shared" si="26"/>
        <v>236.96969696969697</v>
      </c>
      <c r="F152" s="18">
        <v>1000000</v>
      </c>
      <c r="G152" s="207">
        <f t="shared" si="27"/>
        <v>782</v>
      </c>
      <c r="H152" s="94" t="s">
        <v>25</v>
      </c>
      <c r="I152" s="94"/>
      <c r="J152" s="94"/>
      <c r="O152" s="97" t="s">
        <v>6517</v>
      </c>
      <c r="P152" s="18">
        <v>-400000</v>
      </c>
      <c r="Q152" s="97">
        <v>2</v>
      </c>
      <c r="R152" s="97">
        <f t="shared" si="24"/>
        <v>25</v>
      </c>
      <c r="S152" s="97">
        <f t="shared" si="25"/>
        <v>-10000000</v>
      </c>
      <c r="T152" s="97" t="s">
        <v>6521</v>
      </c>
    </row>
    <row r="153" spans="1:25">
      <c r="A153" s="309">
        <v>1394</v>
      </c>
      <c r="B153" s="310">
        <v>1017</v>
      </c>
      <c r="C153" s="32">
        <f t="shared" si="28"/>
        <v>30.051150895140665</v>
      </c>
      <c r="D153" s="239">
        <v>3500</v>
      </c>
      <c r="E153" s="32">
        <f t="shared" si="26"/>
        <v>290.57142857142856</v>
      </c>
      <c r="F153" s="18">
        <v>1000000</v>
      </c>
      <c r="G153" s="207">
        <f t="shared" si="27"/>
        <v>1017</v>
      </c>
      <c r="H153" s="94"/>
      <c r="I153" s="94" t="s">
        <v>25</v>
      </c>
      <c r="J153" s="94"/>
      <c r="O153" s="97" t="s">
        <v>6523</v>
      </c>
      <c r="P153" s="18">
        <v>-938000</v>
      </c>
      <c r="Q153" s="97">
        <v>9</v>
      </c>
      <c r="R153" s="97">
        <f t="shared" si="24"/>
        <v>23</v>
      </c>
      <c r="S153" s="97">
        <f t="shared" si="25"/>
        <v>-21574000</v>
      </c>
      <c r="T153" s="97" t="s">
        <v>6511</v>
      </c>
    </row>
    <row r="154" spans="1:25">
      <c r="A154" s="309">
        <v>1395</v>
      </c>
      <c r="B154" s="310">
        <v>1253</v>
      </c>
      <c r="C154" s="32">
        <f t="shared" si="28"/>
        <v>23.2055063913471</v>
      </c>
      <c r="D154" s="239">
        <v>3800</v>
      </c>
      <c r="E154" s="32">
        <f t="shared" si="26"/>
        <v>329.73684210526318</v>
      </c>
      <c r="F154" s="18">
        <v>1100000</v>
      </c>
      <c r="G154" s="207">
        <f t="shared" si="27"/>
        <v>1139.090909090909</v>
      </c>
      <c r="H154" s="94" t="s">
        <v>25</v>
      </c>
      <c r="I154" s="94" t="s">
        <v>25</v>
      </c>
      <c r="J154" s="94"/>
      <c r="O154" s="97" t="s">
        <v>6643</v>
      </c>
      <c r="P154" s="18">
        <v>-7911000</v>
      </c>
      <c r="Q154" s="97">
        <v>12</v>
      </c>
      <c r="R154" s="97">
        <f t="shared" si="24"/>
        <v>14</v>
      </c>
      <c r="S154" s="97">
        <f t="shared" si="25"/>
        <v>-110754000</v>
      </c>
      <c r="T154" s="97" t="s">
        <v>6645</v>
      </c>
      <c r="X154" t="s">
        <v>25</v>
      </c>
      <c r="Y154" t="s">
        <v>25</v>
      </c>
    </row>
    <row r="155" spans="1:25">
      <c r="A155" s="309">
        <v>1396</v>
      </c>
      <c r="B155" s="310">
        <v>1530</v>
      </c>
      <c r="C155" s="32">
        <f t="shared" si="28"/>
        <v>22.106943335993616</v>
      </c>
      <c r="D155" s="239">
        <v>4500</v>
      </c>
      <c r="E155" s="32">
        <f>B155*1000/D155</f>
        <v>340</v>
      </c>
      <c r="F155" s="18">
        <v>1400000</v>
      </c>
      <c r="G155" s="207">
        <f>B155*1000*1000/F155</f>
        <v>1092.8571428571429</v>
      </c>
      <c r="H155" s="94"/>
      <c r="I155" s="94"/>
      <c r="J155" s="94"/>
      <c r="O155" s="97" t="s">
        <v>6660</v>
      </c>
      <c r="P155" s="18">
        <v>1000000</v>
      </c>
      <c r="Q155" s="97">
        <v>1</v>
      </c>
      <c r="R155" s="97">
        <f t="shared" si="24"/>
        <v>2</v>
      </c>
      <c r="S155" s="97">
        <f t="shared" si="25"/>
        <v>2000000</v>
      </c>
      <c r="T155" s="97" t="s">
        <v>6669</v>
      </c>
    </row>
    <row r="156" spans="1:25">
      <c r="A156" s="309">
        <v>1397</v>
      </c>
      <c r="B156" s="310">
        <v>1882</v>
      </c>
      <c r="C156" s="32">
        <f>(B156-B155)*100/B155</f>
        <v>23.006535947712418</v>
      </c>
      <c r="D156" s="239">
        <v>12000</v>
      </c>
      <c r="E156" s="32">
        <f>B156*1000/D156</f>
        <v>156.83333333333334</v>
      </c>
      <c r="F156" s="18">
        <v>4750000</v>
      </c>
      <c r="G156" s="207">
        <f t="shared" ref="G156:G159" si="29">B156*1000*1000/F156</f>
        <v>396.21052631578948</v>
      </c>
      <c r="H156" s="94"/>
      <c r="I156" s="94"/>
      <c r="J156" s="94"/>
      <c r="O156" s="97" t="s">
        <v>6662</v>
      </c>
      <c r="P156" s="18">
        <v>-1000000</v>
      </c>
      <c r="Q156" s="97">
        <v>1</v>
      </c>
      <c r="R156" s="97">
        <f t="shared" ref="R156:R163" si="30">Q156+R157</f>
        <v>1</v>
      </c>
      <c r="S156" s="97">
        <f t="shared" ref="S156:S163" si="31">P156*R156</f>
        <v>-1000000</v>
      </c>
      <c r="T156" s="97" t="s">
        <v>6645</v>
      </c>
    </row>
    <row r="157" spans="1:25">
      <c r="A157" s="309">
        <v>1398</v>
      </c>
      <c r="B157" s="310">
        <v>2472</v>
      </c>
      <c r="C157" s="32">
        <f>(B157-B156)*100/B156</f>
        <v>31.349628055260361</v>
      </c>
      <c r="D157" s="239">
        <v>15000</v>
      </c>
      <c r="E157" s="32">
        <f t="shared" ref="E157:E159" si="32">B157*1000/D157</f>
        <v>164.8</v>
      </c>
      <c r="F157" s="18">
        <v>6600000</v>
      </c>
      <c r="G157" s="207">
        <f t="shared" si="29"/>
        <v>374.54545454545456</v>
      </c>
      <c r="O157" s="97"/>
      <c r="P157" s="18"/>
      <c r="Q157" s="97"/>
      <c r="R157" s="97">
        <f t="shared" si="30"/>
        <v>0</v>
      </c>
      <c r="S157" s="97">
        <f t="shared" si="31"/>
        <v>0</v>
      </c>
      <c r="T157" s="97"/>
    </row>
    <row r="158" spans="1:25">
      <c r="A158" s="309">
        <v>1399</v>
      </c>
      <c r="B158" s="310">
        <v>3476</v>
      </c>
      <c r="C158" s="32">
        <f>(B158-B157)*100/B157</f>
        <v>40.614886731391586</v>
      </c>
      <c r="D158" s="239">
        <v>25000</v>
      </c>
      <c r="E158" s="32">
        <f t="shared" si="32"/>
        <v>139.04</v>
      </c>
      <c r="F158" s="18">
        <v>12000000</v>
      </c>
      <c r="G158" s="207">
        <f t="shared" si="29"/>
        <v>289.66666666666669</v>
      </c>
      <c r="O158" s="97"/>
      <c r="P158" s="18"/>
      <c r="Q158" s="97"/>
      <c r="R158" s="97">
        <f t="shared" si="30"/>
        <v>0</v>
      </c>
      <c r="S158" s="97">
        <f t="shared" si="31"/>
        <v>0</v>
      </c>
      <c r="T158" s="97"/>
      <c r="Y158" t="s">
        <v>25</v>
      </c>
    </row>
    <row r="159" spans="1:25">
      <c r="A159" s="309">
        <v>1400</v>
      </c>
      <c r="B159" s="310">
        <v>4800</v>
      </c>
      <c r="C159" s="32">
        <f t="shared" ref="C159" si="33">(B159-B158)*100/B158</f>
        <v>38.089758342922899</v>
      </c>
      <c r="D159" s="239">
        <v>25000</v>
      </c>
      <c r="E159" s="32">
        <f t="shared" si="32"/>
        <v>192</v>
      </c>
      <c r="F159" s="18">
        <v>15000000</v>
      </c>
      <c r="G159" s="207">
        <f t="shared" si="29"/>
        <v>320</v>
      </c>
      <c r="O159" s="97"/>
      <c r="P159" s="18"/>
      <c r="Q159" s="97"/>
      <c r="R159" s="97">
        <f t="shared" si="30"/>
        <v>0</v>
      </c>
      <c r="S159" s="97">
        <f t="shared" si="31"/>
        <v>0</v>
      </c>
      <c r="T159" s="97"/>
    </row>
    <row r="160" spans="1:25">
      <c r="A160" s="94"/>
      <c r="B160" s="94"/>
      <c r="E160" s="94"/>
      <c r="F160" s="94"/>
      <c r="G160" s="94"/>
      <c r="O160" s="97"/>
      <c r="P160" s="18"/>
      <c r="Q160" s="97"/>
      <c r="R160" s="97">
        <f t="shared" si="30"/>
        <v>0</v>
      </c>
      <c r="S160" s="97">
        <f t="shared" si="31"/>
        <v>0</v>
      </c>
      <c r="T160" s="97"/>
    </row>
    <row r="161" spans="1:24">
      <c r="A161" s="94"/>
      <c r="B161" s="94"/>
      <c r="E161" s="94"/>
      <c r="F161" s="94"/>
      <c r="G161" s="94"/>
      <c r="O161" s="97"/>
      <c r="P161" s="18"/>
      <c r="Q161" s="97"/>
      <c r="R161" s="97">
        <f t="shared" si="30"/>
        <v>0</v>
      </c>
      <c r="S161" s="97">
        <f t="shared" si="31"/>
        <v>0</v>
      </c>
      <c r="T161" s="97"/>
      <c r="X161" t="s">
        <v>25</v>
      </c>
    </row>
    <row r="162" spans="1:24">
      <c r="A162" s="94"/>
      <c r="B162" s="94"/>
      <c r="E162" s="94"/>
      <c r="F162" s="94"/>
      <c r="G162" s="94"/>
      <c r="O162" s="97"/>
      <c r="P162" s="18"/>
      <c r="Q162" s="97"/>
      <c r="R162" s="97">
        <f t="shared" si="30"/>
        <v>0</v>
      </c>
      <c r="S162" s="97">
        <f t="shared" si="31"/>
        <v>0</v>
      </c>
      <c r="T162" s="97"/>
    </row>
    <row r="163" spans="1:24">
      <c r="A163" s="94"/>
      <c r="B163" s="94"/>
      <c r="E163" s="94"/>
      <c r="O163" s="97"/>
      <c r="P163" s="18"/>
      <c r="Q163" s="97"/>
      <c r="R163" s="97">
        <f t="shared" si="30"/>
        <v>0</v>
      </c>
      <c r="S163" s="97">
        <f t="shared" si="31"/>
        <v>0</v>
      </c>
      <c r="T163" s="97"/>
    </row>
    <row r="164" spans="1:24">
      <c r="A164">
        <v>0</v>
      </c>
      <c r="B164" s="94">
        <v>1</v>
      </c>
      <c r="C164" s="94">
        <v>3476</v>
      </c>
      <c r="E164" s="94">
        <v>2.845E-2</v>
      </c>
      <c r="O164" s="97"/>
      <c r="P164" s="18"/>
      <c r="Q164" s="97"/>
      <c r="R164" s="97">
        <f t="shared" si="20"/>
        <v>0</v>
      </c>
      <c r="S164" s="97"/>
      <c r="T164" s="97"/>
    </row>
    <row r="165" spans="1:24">
      <c r="A165">
        <v>1</v>
      </c>
      <c r="B165" s="94">
        <f>B164*(1+$E$164)</f>
        <v>1.0284500000000001</v>
      </c>
      <c r="C165" s="94">
        <f>C164*(1+$E$164)</f>
        <v>3574.8922000000002</v>
      </c>
      <c r="E165" s="94"/>
      <c r="O165" s="97"/>
      <c r="P165" s="18">
        <f>SUM(P32:P164)</f>
        <v>43000000</v>
      </c>
      <c r="Q165" s="97"/>
      <c r="R165" s="97"/>
      <c r="S165" s="18">
        <f>SUM(S32:S164)</f>
        <v>14457721756</v>
      </c>
      <c r="T165" s="97"/>
    </row>
    <row r="166" spans="1:24">
      <c r="A166" s="94">
        <v>2</v>
      </c>
      <c r="B166" s="94">
        <f t="shared" ref="B166:B176" si="34">B165*(1+$E$164)</f>
        <v>1.0577094025000002</v>
      </c>
      <c r="C166" s="94">
        <f t="shared" ref="C166:C176" si="35">C165*(1+$E$164)</f>
        <v>3676.5978830900003</v>
      </c>
      <c r="E166" s="94"/>
      <c r="P166" t="s">
        <v>4910</v>
      </c>
    </row>
    <row r="167" spans="1:24">
      <c r="A167" s="94">
        <v>3</v>
      </c>
      <c r="B167" s="94">
        <f t="shared" si="34"/>
        <v>1.0878012350011252</v>
      </c>
      <c r="C167" s="94">
        <f t="shared" si="35"/>
        <v>3781.1970928639112</v>
      </c>
    </row>
    <row r="168" spans="1:24">
      <c r="A168" s="94">
        <v>4</v>
      </c>
      <c r="B168" s="94">
        <f t="shared" si="34"/>
        <v>1.1187491801369074</v>
      </c>
      <c r="C168" s="94">
        <f t="shared" si="35"/>
        <v>3888.7721501558899</v>
      </c>
      <c r="E168" s="94"/>
      <c r="F168" s="94"/>
      <c r="G168" s="94"/>
      <c r="H168" s="94"/>
      <c r="I168" s="94"/>
      <c r="J168" s="94"/>
      <c r="K168" s="94"/>
      <c r="L168" s="94"/>
      <c r="M168" s="94"/>
      <c r="N168" s="94"/>
      <c r="P168" s="94"/>
    </row>
    <row r="169" spans="1:24">
      <c r="A169" s="94">
        <v>5</v>
      </c>
      <c r="B169" s="94">
        <f t="shared" si="34"/>
        <v>1.1505775943118024</v>
      </c>
      <c r="C169" s="94">
        <f t="shared" si="35"/>
        <v>3999.4077178278253</v>
      </c>
      <c r="E169" s="94"/>
      <c r="F169" s="94"/>
      <c r="G169" s="94"/>
      <c r="H169" s="94"/>
      <c r="I169" s="94"/>
      <c r="J169" s="94"/>
      <c r="K169" s="94"/>
      <c r="L169" s="94"/>
      <c r="M169" s="94"/>
      <c r="N169" s="94"/>
      <c r="S169" t="s">
        <v>25</v>
      </c>
    </row>
    <row r="170" spans="1:24">
      <c r="A170" s="94">
        <v>6</v>
      </c>
      <c r="B170" s="94">
        <f t="shared" si="34"/>
        <v>1.1833115268699732</v>
      </c>
      <c r="C170" s="94">
        <f t="shared" si="35"/>
        <v>4113.1908674000269</v>
      </c>
      <c r="E170" s="94"/>
      <c r="F170" s="94"/>
      <c r="G170" s="94"/>
      <c r="H170" s="94"/>
      <c r="I170" s="94"/>
      <c r="J170" s="94"/>
      <c r="K170" s="94"/>
      <c r="L170" s="94"/>
      <c r="M170" s="94"/>
      <c r="N170" s="94"/>
      <c r="Q170" t="s">
        <v>25</v>
      </c>
      <c r="R170" t="s">
        <v>25</v>
      </c>
    </row>
    <row r="171" spans="1:24">
      <c r="A171" s="94">
        <v>7</v>
      </c>
      <c r="B171" s="94">
        <f t="shared" si="34"/>
        <v>1.216976739809424</v>
      </c>
      <c r="C171" s="94">
        <f t="shared" si="35"/>
        <v>4230.2111475775582</v>
      </c>
      <c r="E171" s="94"/>
      <c r="F171" s="94"/>
      <c r="G171" s="94"/>
      <c r="H171" s="94"/>
      <c r="I171" s="94"/>
      <c r="J171" s="94"/>
      <c r="K171" s="94"/>
      <c r="L171" s="94"/>
      <c r="M171" s="94"/>
      <c r="N171" s="94"/>
      <c r="O171" t="s">
        <v>25</v>
      </c>
      <c r="R171" t="s">
        <v>25</v>
      </c>
    </row>
    <row r="172" spans="1:24">
      <c r="A172" s="94">
        <v>8</v>
      </c>
      <c r="B172" s="94">
        <f t="shared" si="34"/>
        <v>1.2515997280570021</v>
      </c>
      <c r="C172" s="94">
        <f t="shared" si="35"/>
        <v>4350.5606547261405</v>
      </c>
      <c r="E172" s="94"/>
      <c r="F172" s="94"/>
      <c r="G172" s="94"/>
      <c r="H172" s="94"/>
      <c r="I172" s="94"/>
      <c r="J172" s="94"/>
      <c r="K172" s="94"/>
      <c r="L172" s="94"/>
      <c r="M172" s="94"/>
      <c r="N172" s="94"/>
      <c r="P172" t="s">
        <v>25</v>
      </c>
      <c r="R172" t="s">
        <v>25</v>
      </c>
    </row>
    <row r="173" spans="1:24">
      <c r="A173" s="94">
        <v>9</v>
      </c>
      <c r="B173" s="94">
        <f t="shared" si="34"/>
        <v>1.287207740320224</v>
      </c>
      <c r="C173" s="94">
        <f t="shared" si="35"/>
        <v>4474.3341053530994</v>
      </c>
      <c r="E173" s="94"/>
      <c r="F173" s="94"/>
      <c r="G173" s="94"/>
      <c r="H173" s="94"/>
      <c r="I173" s="94"/>
      <c r="J173" s="94"/>
      <c r="K173" s="94"/>
      <c r="L173" s="94"/>
      <c r="M173" s="94"/>
      <c r="N173" s="94"/>
      <c r="R173" t="s">
        <v>25</v>
      </c>
    </row>
    <row r="174" spans="1:24">
      <c r="A174" s="94">
        <v>10</v>
      </c>
      <c r="B174" s="94">
        <f t="shared" si="34"/>
        <v>1.3238288005323344</v>
      </c>
      <c r="C174" s="94">
        <f t="shared" si="35"/>
        <v>4601.6289106503955</v>
      </c>
      <c r="E174" s="94"/>
      <c r="F174" s="94"/>
      <c r="G174" s="94"/>
      <c r="H174" s="94"/>
      <c r="I174" s="94"/>
      <c r="J174" s="94"/>
      <c r="K174" s="94"/>
      <c r="L174" s="94"/>
      <c r="M174" s="94"/>
      <c r="N174" s="94"/>
      <c r="O174" t="s">
        <v>25</v>
      </c>
    </row>
    <row r="175" spans="1:24">
      <c r="A175" s="94">
        <v>11</v>
      </c>
      <c r="B175" s="94">
        <f t="shared" si="34"/>
        <v>1.3614917299074794</v>
      </c>
      <c r="C175" s="94">
        <f t="shared" si="35"/>
        <v>4732.5452531583996</v>
      </c>
      <c r="E175" s="94"/>
      <c r="F175" s="94"/>
      <c r="G175" s="94"/>
      <c r="H175" s="94"/>
      <c r="I175" s="94"/>
      <c r="J175" s="94"/>
      <c r="K175" s="94"/>
      <c r="L175" s="94"/>
      <c r="M175" s="94"/>
      <c r="N175" s="94"/>
      <c r="T175" t="s">
        <v>25</v>
      </c>
    </row>
    <row r="176" spans="1:24">
      <c r="A176" s="94">
        <v>12</v>
      </c>
      <c r="B176" s="94">
        <f t="shared" si="34"/>
        <v>1.4002261696233473</v>
      </c>
      <c r="C176" s="94">
        <f t="shared" si="35"/>
        <v>4867.1861656107567</v>
      </c>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4"/>
      <c r="B179" s="94"/>
      <c r="E179" s="94"/>
      <c r="F179" s="94"/>
      <c r="G179" s="94"/>
      <c r="H179" s="94"/>
      <c r="I179" s="94"/>
      <c r="J179" s="94"/>
      <c r="K179" s="94"/>
      <c r="L179" s="94"/>
      <c r="M179" s="94"/>
      <c r="N179" s="94"/>
    </row>
    <row r="180" spans="1:17">
      <c r="A180" s="94"/>
      <c r="B180" s="94"/>
      <c r="E180" s="94"/>
      <c r="F180" s="94"/>
      <c r="G180" s="94"/>
      <c r="H180" s="94"/>
      <c r="I180" s="94"/>
      <c r="J180" s="94"/>
      <c r="K180" s="94"/>
      <c r="L180" s="94"/>
      <c r="M180" s="94"/>
      <c r="N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6540</v>
      </c>
      <c r="E182" s="97" t="s">
        <v>6493</v>
      </c>
      <c r="F182" s="97" t="s">
        <v>6541</v>
      </c>
      <c r="G182" s="97" t="s">
        <v>4248</v>
      </c>
      <c r="H182" s="97" t="s">
        <v>4921</v>
      </c>
      <c r="I182" s="120" t="s">
        <v>4835</v>
      </c>
      <c r="K182" s="94"/>
      <c r="O182" s="94"/>
      <c r="P182" s="94"/>
      <c r="Q182" s="94"/>
    </row>
    <row r="183" spans="1:17">
      <c r="A183" s="97" t="s">
        <v>5820</v>
      </c>
      <c r="B183" s="97">
        <v>499499998</v>
      </c>
      <c r="C183" s="97">
        <v>308</v>
      </c>
      <c r="D183" s="97">
        <f t="shared" ref="D183:D188" si="36">B183*C183/$I$183</f>
        <v>15.384599938399999</v>
      </c>
      <c r="E183" s="97">
        <v>213</v>
      </c>
      <c r="F183" s="97">
        <f t="shared" ref="F183:F188" si="37">B183*E183/$I$183</f>
        <v>10.6393499574</v>
      </c>
      <c r="G183" s="97">
        <v>2497</v>
      </c>
      <c r="H183" s="97">
        <f t="shared" ref="H183:H195" si="38">B183*G183/$I$183</f>
        <v>124.7251495006</v>
      </c>
      <c r="I183" s="94">
        <v>10000000000</v>
      </c>
      <c r="K183" s="94"/>
      <c r="O183" s="94"/>
      <c r="P183" s="94"/>
      <c r="Q183" s="94"/>
    </row>
    <row r="184" spans="1:17">
      <c r="A184" s="97" t="s">
        <v>6533</v>
      </c>
      <c r="B184" s="97">
        <v>2605542578</v>
      </c>
      <c r="C184" s="97">
        <v>190</v>
      </c>
      <c r="D184" s="97">
        <f t="shared" si="36"/>
        <v>49.505308982000003</v>
      </c>
      <c r="E184" s="97">
        <v>130</v>
      </c>
      <c r="F184" s="97">
        <f t="shared" si="37"/>
        <v>33.872053514000001</v>
      </c>
      <c r="G184" s="97">
        <v>1877</v>
      </c>
      <c r="H184" s="97">
        <f t="shared" si="38"/>
        <v>489.0603418906</v>
      </c>
      <c r="I184" s="94"/>
      <c r="J184" s="94"/>
      <c r="K184" s="94"/>
      <c r="O184" s="94"/>
      <c r="P184" s="94"/>
      <c r="Q184" s="94"/>
    </row>
    <row r="185" spans="1:17">
      <c r="A185" s="97" t="s">
        <v>6536</v>
      </c>
      <c r="B185" s="97">
        <v>4161561525</v>
      </c>
      <c r="C185" s="97">
        <v>60</v>
      </c>
      <c r="D185" s="97">
        <f t="shared" si="36"/>
        <v>24.969369149999999</v>
      </c>
      <c r="E185" s="23">
        <v>30</v>
      </c>
      <c r="F185" s="97">
        <f t="shared" si="37"/>
        <v>12.484684574999999</v>
      </c>
      <c r="G185" s="97">
        <v>392</v>
      </c>
      <c r="H185" s="97">
        <f t="shared" si="38"/>
        <v>163.13321178000001</v>
      </c>
      <c r="I185" s="94"/>
      <c r="J185" s="94"/>
      <c r="K185" s="94"/>
      <c r="O185" s="94"/>
      <c r="P185" s="94"/>
      <c r="Q185" s="94"/>
    </row>
    <row r="186" spans="1:17">
      <c r="A186" s="97" t="s">
        <v>6534</v>
      </c>
      <c r="B186" s="97">
        <v>2802020000</v>
      </c>
      <c r="C186" s="97">
        <v>116</v>
      </c>
      <c r="D186" s="97">
        <f t="shared" si="36"/>
        <v>32.503431999999997</v>
      </c>
      <c r="E186" s="23">
        <v>80</v>
      </c>
      <c r="F186" s="97">
        <f t="shared" si="37"/>
        <v>22.416160000000001</v>
      </c>
      <c r="G186" s="97">
        <v>460</v>
      </c>
      <c r="H186" s="97">
        <f t="shared" si="38"/>
        <v>128.89292</v>
      </c>
      <c r="I186" s="94"/>
      <c r="J186" s="94"/>
      <c r="K186" s="94"/>
    </row>
    <row r="187" spans="1:17">
      <c r="A187" s="97" t="s">
        <v>6535</v>
      </c>
      <c r="B187" s="97">
        <v>299466348</v>
      </c>
      <c r="C187" s="97">
        <v>150</v>
      </c>
      <c r="D187" s="97">
        <f t="shared" si="36"/>
        <v>4.4919952199999997</v>
      </c>
      <c r="E187" s="23">
        <v>100</v>
      </c>
      <c r="F187" s="97">
        <f t="shared" si="37"/>
        <v>2.9946634799999998</v>
      </c>
      <c r="G187" s="97">
        <v>1220</v>
      </c>
      <c r="H187" s="97">
        <f t="shared" si="38"/>
        <v>36.534894456000004</v>
      </c>
      <c r="I187" s="94"/>
      <c r="J187" s="94"/>
      <c r="K187" s="94"/>
    </row>
    <row r="188" spans="1:17">
      <c r="A188" s="97" t="s">
        <v>4525</v>
      </c>
      <c r="B188" s="97">
        <v>978026662</v>
      </c>
      <c r="C188" s="97">
        <v>100</v>
      </c>
      <c r="D188" s="97">
        <f t="shared" si="36"/>
        <v>9.7802666200000008</v>
      </c>
      <c r="E188" s="23">
        <v>80</v>
      </c>
      <c r="F188" s="97">
        <f t="shared" si="37"/>
        <v>7.8242132959999999</v>
      </c>
      <c r="G188" s="97">
        <v>555</v>
      </c>
      <c r="H188" s="97">
        <f t="shared" si="38"/>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8"/>
        <v>429.588710144</v>
      </c>
      <c r="I189" s="94"/>
      <c r="J189" s="94"/>
      <c r="K189" s="94"/>
    </row>
    <row r="190" spans="1:17">
      <c r="A190" s="97" t="s">
        <v>5823</v>
      </c>
      <c r="B190" s="97">
        <v>454880755</v>
      </c>
      <c r="C190" s="97">
        <v>100</v>
      </c>
      <c r="D190" s="97">
        <f t="shared" ref="D190:D198" si="39">B190*C190/$I$183</f>
        <v>4.5488075500000003</v>
      </c>
      <c r="E190" s="23">
        <v>80</v>
      </c>
      <c r="F190" s="97">
        <f t="shared" ref="F190:F198" si="40">B190*E190/$I$183</f>
        <v>3.6390460400000002</v>
      </c>
      <c r="G190" s="97">
        <v>1297</v>
      </c>
      <c r="H190" s="97">
        <f t="shared" si="38"/>
        <v>58.998033923500003</v>
      </c>
      <c r="I190" s="94"/>
      <c r="J190" s="94"/>
      <c r="K190" s="94"/>
    </row>
    <row r="191" spans="1:17">
      <c r="A191" s="97" t="s">
        <v>6537</v>
      </c>
      <c r="B191" s="97">
        <v>337500000</v>
      </c>
      <c r="C191" s="97">
        <v>219</v>
      </c>
      <c r="D191" s="97">
        <f t="shared" si="39"/>
        <v>7.3912500000000003</v>
      </c>
      <c r="E191" s="97">
        <v>237</v>
      </c>
      <c r="F191" s="97">
        <f t="shared" si="40"/>
        <v>7.9987500000000002</v>
      </c>
      <c r="G191" s="97">
        <v>2002</v>
      </c>
      <c r="H191" s="97">
        <f t="shared" si="38"/>
        <v>67.567499999999995</v>
      </c>
      <c r="I191" s="94"/>
      <c r="J191" s="94" t="s">
        <v>25</v>
      </c>
      <c r="K191" s="94"/>
    </row>
    <row r="192" spans="1:17">
      <c r="A192" s="97" t="s">
        <v>5827</v>
      </c>
      <c r="B192" s="97">
        <v>35697979</v>
      </c>
      <c r="C192" s="97">
        <v>223</v>
      </c>
      <c r="D192" s="97">
        <f t="shared" si="39"/>
        <v>0.79606493170000003</v>
      </c>
      <c r="E192" s="97">
        <v>80</v>
      </c>
      <c r="F192" s="97">
        <f t="shared" si="40"/>
        <v>0.28558383199999998</v>
      </c>
      <c r="G192" s="97">
        <v>1538</v>
      </c>
      <c r="H192" s="97">
        <f t="shared" si="38"/>
        <v>5.4903491702</v>
      </c>
      <c r="I192" s="94"/>
      <c r="J192" s="94"/>
      <c r="K192" s="94"/>
      <c r="M192" t="s">
        <v>25</v>
      </c>
    </row>
    <row r="193" spans="1:11">
      <c r="A193" s="97" t="s">
        <v>6004</v>
      </c>
      <c r="B193" s="97">
        <v>158220192</v>
      </c>
      <c r="C193" s="97">
        <v>352</v>
      </c>
      <c r="D193" s="97">
        <f t="shared" si="39"/>
        <v>5.5693507583999997</v>
      </c>
      <c r="E193" s="23">
        <v>200</v>
      </c>
      <c r="F193" s="97">
        <f t="shared" si="40"/>
        <v>3.1644038399999999</v>
      </c>
      <c r="G193" s="97">
        <v>1585</v>
      </c>
      <c r="H193" s="97">
        <f t="shared" si="38"/>
        <v>25.077900432</v>
      </c>
      <c r="I193" s="94"/>
      <c r="J193" s="94"/>
      <c r="K193" s="94"/>
    </row>
    <row r="194" spans="1:11">
      <c r="A194" s="97" t="s">
        <v>4514</v>
      </c>
      <c r="B194" s="97">
        <v>2003857980</v>
      </c>
      <c r="C194" s="97">
        <v>134</v>
      </c>
      <c r="D194" s="97">
        <f t="shared" si="39"/>
        <v>26.851696931999999</v>
      </c>
      <c r="E194" s="23">
        <v>100</v>
      </c>
      <c r="F194" s="97">
        <f t="shared" si="40"/>
        <v>20.038579800000001</v>
      </c>
      <c r="G194" s="97">
        <v>1267</v>
      </c>
      <c r="H194" s="97">
        <f t="shared" si="38"/>
        <v>253.888806066</v>
      </c>
      <c r="I194" s="94" t="s">
        <v>25</v>
      </c>
      <c r="J194" s="94"/>
      <c r="K194" s="94"/>
    </row>
    <row r="195" spans="1:11">
      <c r="A195" s="97" t="s">
        <v>6538</v>
      </c>
      <c r="B195" s="97">
        <v>1</v>
      </c>
      <c r="C195" s="97">
        <v>800000000000</v>
      </c>
      <c r="D195" s="97">
        <f t="shared" si="39"/>
        <v>80</v>
      </c>
      <c r="E195" s="23">
        <v>500000000000</v>
      </c>
      <c r="F195" s="97">
        <f t="shared" si="40"/>
        <v>50</v>
      </c>
      <c r="G195" s="97">
        <v>7000000000000</v>
      </c>
      <c r="H195" s="97">
        <f t="shared" si="38"/>
        <v>700</v>
      </c>
      <c r="I195" s="94"/>
      <c r="J195" s="94"/>
      <c r="K195" s="94"/>
    </row>
    <row r="196" spans="1:11">
      <c r="A196" s="97" t="s">
        <v>5854</v>
      </c>
      <c r="B196" s="97">
        <v>1</v>
      </c>
      <c r="C196" s="97">
        <v>50000000000</v>
      </c>
      <c r="D196" s="97">
        <f t="shared" si="39"/>
        <v>5</v>
      </c>
      <c r="E196" s="23">
        <v>30000000000</v>
      </c>
      <c r="F196" s="97">
        <f t="shared" si="40"/>
        <v>3</v>
      </c>
      <c r="G196" s="97">
        <v>420000000000</v>
      </c>
      <c r="H196" s="97">
        <f>B196*G196/$I$183</f>
        <v>42</v>
      </c>
      <c r="I196" s="94"/>
      <c r="J196" s="94"/>
      <c r="K196" s="94"/>
    </row>
    <row r="197" spans="1:11">
      <c r="A197" s="97" t="s">
        <v>6539</v>
      </c>
      <c r="B197" s="97">
        <v>1</v>
      </c>
      <c r="C197" s="97">
        <v>500000000000</v>
      </c>
      <c r="D197" s="97">
        <f t="shared" si="39"/>
        <v>50</v>
      </c>
      <c r="E197" s="23">
        <v>300000000000</v>
      </c>
      <c r="F197" s="97">
        <f t="shared" si="40"/>
        <v>30</v>
      </c>
      <c r="G197" s="97">
        <v>4000000000000</v>
      </c>
      <c r="H197" s="97">
        <f>B197*G197/$I$183</f>
        <v>400</v>
      </c>
      <c r="I197" s="94"/>
      <c r="J197" s="94"/>
      <c r="K197" s="94"/>
    </row>
    <row r="198" spans="1:11">
      <c r="A198" s="97"/>
      <c r="B198" s="97">
        <v>0</v>
      </c>
      <c r="C198" s="97">
        <v>1</v>
      </c>
      <c r="D198" s="97">
        <f t="shared" si="39"/>
        <v>0</v>
      </c>
      <c r="E198" s="23"/>
      <c r="F198" s="97">
        <f t="shared" si="40"/>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70"/>
  <sheetViews>
    <sheetView tabSelected="1" topLeftCell="L130" zoomScale="85" zoomScaleNormal="85" workbookViewId="0">
      <selection activeCell="S147" sqref="S14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1045</v>
      </c>
      <c r="T20" s="166" t="s">
        <v>4283</v>
      </c>
      <c r="U20" s="166">
        <v>192.1</v>
      </c>
      <c r="V20" s="166">
        <f t="shared" ref="V20:V51" si="6">U20*(1+$R$112+$Q$15*S20/36500)</f>
        <v>349.01570082191785</v>
      </c>
      <c r="W20" s="32">
        <f t="shared" ref="W20:W26" si="7">V20*(1+$W$19/100)</f>
        <v>355.99601483835619</v>
      </c>
      <c r="X20" s="32">
        <f t="shared" ref="X20:X26" si="8">V20*(1+$X$19/100)</f>
        <v>362.97632885479459</v>
      </c>
      <c r="Y20" s="113">
        <v>48028</v>
      </c>
      <c r="Z20" s="113"/>
      <c r="AH20" s="97">
        <v>1</v>
      </c>
      <c r="AI20" s="111" t="s">
        <v>1092</v>
      </c>
      <c r="AJ20" s="111">
        <v>18000000</v>
      </c>
      <c r="AK20" s="97">
        <v>1</v>
      </c>
      <c r="AL20" s="97">
        <f>AL21+AK20</f>
        <v>1129</v>
      </c>
      <c r="AM20" s="111">
        <f>AJ20*AL20</f>
        <v>20322000000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6530</v>
      </c>
      <c r="N21" s="111">
        <f t="shared" ref="N21:N26" si="9">O21*P21</f>
        <v>36900</v>
      </c>
      <c r="O21" s="97">
        <v>36900</v>
      </c>
      <c r="P21" s="183">
        <v>1</v>
      </c>
      <c r="Q21" s="167">
        <v>1353959</v>
      </c>
      <c r="R21" s="166" t="s">
        <v>4391</v>
      </c>
      <c r="S21" s="195">
        <f>S20-59</f>
        <v>986</v>
      </c>
      <c r="T21" s="19" t="s">
        <v>4427</v>
      </c>
      <c r="U21" s="166">
        <v>192.2</v>
      </c>
      <c r="V21" s="166">
        <f t="shared" si="6"/>
        <v>340.4983605479452</v>
      </c>
      <c r="W21" s="32">
        <f t="shared" si="7"/>
        <v>347.30832775890411</v>
      </c>
      <c r="X21" s="32">
        <f t="shared" si="8"/>
        <v>354.11829496986303</v>
      </c>
      <c r="Y21" s="113">
        <v>7012</v>
      </c>
      <c r="Z21" s="113"/>
      <c r="AH21" s="97">
        <v>2</v>
      </c>
      <c r="AI21" s="111" t="s">
        <v>1094</v>
      </c>
      <c r="AJ21" s="111">
        <v>2500000</v>
      </c>
      <c r="AK21" s="97">
        <v>1</v>
      </c>
      <c r="AL21" s="97">
        <f t="shared" ref="AL21:AL63" si="10">AL22+AK21</f>
        <v>1128</v>
      </c>
      <c r="AM21" s="111">
        <f t="shared" ref="AM21:AM120" si="11">AJ21*AL21</f>
        <v>2820000000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6700482123.9699631</v>
      </c>
      <c r="M22" s="166" t="s">
        <v>4275</v>
      </c>
      <c r="N22" s="111">
        <f t="shared" si="9"/>
        <v>3701662860</v>
      </c>
      <c r="O22" s="97">
        <v>2579556</v>
      </c>
      <c r="P22" s="183">
        <f>P49</f>
        <v>1435</v>
      </c>
      <c r="Q22" s="167">
        <v>1614398</v>
      </c>
      <c r="R22" s="166" t="s">
        <v>4397</v>
      </c>
      <c r="S22" s="166">
        <f>S21-3</f>
        <v>983</v>
      </c>
      <c r="T22" s="19" t="s">
        <v>5609</v>
      </c>
      <c r="U22" s="166">
        <v>184.6</v>
      </c>
      <c r="V22" s="166">
        <f t="shared" si="6"/>
        <v>326.60949260273969</v>
      </c>
      <c r="W22" s="32">
        <f t="shared" si="7"/>
        <v>333.14168245479448</v>
      </c>
      <c r="X22" s="32">
        <f t="shared" si="8"/>
        <v>339.67387230684932</v>
      </c>
      <c r="Y22" s="113">
        <v>8705</v>
      </c>
      <c r="Z22" s="113"/>
      <c r="AH22" s="97">
        <v>3</v>
      </c>
      <c r="AI22" s="111" t="s">
        <v>1103</v>
      </c>
      <c r="AJ22" s="111">
        <v>8000000</v>
      </c>
      <c r="AK22" s="97">
        <v>1</v>
      </c>
      <c r="AL22" s="97">
        <f t="shared" si="10"/>
        <v>1127</v>
      </c>
      <c r="AM22" s="111">
        <f t="shared" si="11"/>
        <v>9016000000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173124960</v>
      </c>
      <c r="O23" s="97">
        <v>113898</v>
      </c>
      <c r="P23" s="183">
        <f>P52</f>
        <v>1520</v>
      </c>
      <c r="Q23" s="167">
        <v>133576</v>
      </c>
      <c r="R23" s="166" t="s">
        <v>4464</v>
      </c>
      <c r="S23" s="194">
        <f>S22-22</f>
        <v>961</v>
      </c>
      <c r="T23" s="166" t="s">
        <v>4465</v>
      </c>
      <c r="U23" s="166">
        <v>166.2</v>
      </c>
      <c r="V23" s="166">
        <f t="shared" si="6"/>
        <v>291.2497906849315</v>
      </c>
      <c r="W23" s="32">
        <f t="shared" si="7"/>
        <v>297.07478649863015</v>
      </c>
      <c r="X23" s="32">
        <f t="shared" si="8"/>
        <v>302.8997823123288</v>
      </c>
      <c r="Y23" s="120">
        <v>800</v>
      </c>
      <c r="Z23" s="94"/>
      <c r="AH23" s="97">
        <v>4</v>
      </c>
      <c r="AI23" s="111" t="s">
        <v>4038</v>
      </c>
      <c r="AJ23" s="111">
        <v>-79552</v>
      </c>
      <c r="AK23" s="97">
        <v>1</v>
      </c>
      <c r="AL23" s="97">
        <f t="shared" si="10"/>
        <v>1126</v>
      </c>
      <c r="AM23" s="111">
        <f t="shared" si="11"/>
        <v>-89575552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6576562809.9699631</v>
      </c>
      <c r="G24" s="93">
        <f t="shared" si="0"/>
        <v>-6296256464.5880241</v>
      </c>
      <c r="H24" s="11"/>
      <c r="I24" s="94"/>
      <c r="J24" s="94"/>
      <c r="K24" s="207"/>
      <c r="L24" s="115"/>
      <c r="M24" s="207" t="s">
        <v>5890</v>
      </c>
      <c r="N24" s="111">
        <f t="shared" si="9"/>
        <v>0</v>
      </c>
      <c r="O24" s="97">
        <v>0</v>
      </c>
      <c r="P24" s="183">
        <f>P50</f>
        <v>2700</v>
      </c>
      <c r="Q24" s="167">
        <v>220803</v>
      </c>
      <c r="R24" s="166" t="s">
        <v>4207</v>
      </c>
      <c r="S24" s="194">
        <f>S23-1</f>
        <v>960</v>
      </c>
      <c r="T24" s="166" t="s">
        <v>4471</v>
      </c>
      <c r="U24" s="166">
        <v>166</v>
      </c>
      <c r="V24" s="166">
        <f t="shared" si="6"/>
        <v>290.77196712328765</v>
      </c>
      <c r="W24" s="32">
        <f t="shared" si="7"/>
        <v>296.58740646575342</v>
      </c>
      <c r="X24" s="32">
        <f t="shared" si="8"/>
        <v>302.40284580821918</v>
      </c>
      <c r="Y24" s="120">
        <v>1326</v>
      </c>
      <c r="Z24" s="94"/>
      <c r="AH24" s="97">
        <v>5</v>
      </c>
      <c r="AI24" s="111" t="s">
        <v>1115</v>
      </c>
      <c r="AJ24" s="111">
        <v>165500</v>
      </c>
      <c r="AK24" s="97">
        <v>12</v>
      </c>
      <c r="AL24" s="97">
        <f t="shared" si="10"/>
        <v>1125</v>
      </c>
      <c r="AM24" s="111">
        <f t="shared" si="11"/>
        <v>186187500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18300</v>
      </c>
      <c r="Q25" s="167">
        <v>1023940</v>
      </c>
      <c r="R25" s="166" t="s">
        <v>4472</v>
      </c>
      <c r="S25" s="194">
        <f>S24-2</f>
        <v>958</v>
      </c>
      <c r="T25" s="166" t="s">
        <v>4478</v>
      </c>
      <c r="U25" s="166">
        <v>160.19999999999999</v>
      </c>
      <c r="V25" s="166">
        <f t="shared" si="6"/>
        <v>280.36667835616441</v>
      </c>
      <c r="W25" s="32">
        <f t="shared" si="7"/>
        <v>285.97401192328772</v>
      </c>
      <c r="X25" s="32">
        <f t="shared" si="8"/>
        <v>291.58134549041102</v>
      </c>
      <c r="Y25" s="120">
        <v>6362</v>
      </c>
      <c r="Z25" s="94" t="s">
        <v>25</v>
      </c>
      <c r="AH25" s="97">
        <v>6</v>
      </c>
      <c r="AI25" s="111" t="s">
        <v>1140</v>
      </c>
      <c r="AJ25" s="111">
        <v>-28830327</v>
      </c>
      <c r="AK25" s="97">
        <v>6</v>
      </c>
      <c r="AL25" s="97">
        <f t="shared" si="10"/>
        <v>1113</v>
      </c>
      <c r="AM25" s="111">
        <f t="shared" si="11"/>
        <v>-32088153951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8133</v>
      </c>
      <c r="Q26" s="167">
        <v>168846</v>
      </c>
      <c r="R26" s="166" t="s">
        <v>3675</v>
      </c>
      <c r="S26" s="194">
        <f>S25-28</f>
        <v>930</v>
      </c>
      <c r="T26" s="166" t="s">
        <v>4552</v>
      </c>
      <c r="U26" s="166">
        <v>172.2</v>
      </c>
      <c r="V26" s="166">
        <f t="shared" si="6"/>
        <v>297.66916602739724</v>
      </c>
      <c r="W26" s="32">
        <f t="shared" si="7"/>
        <v>303.62254934794521</v>
      </c>
      <c r="X26" s="32">
        <f t="shared" si="8"/>
        <v>309.57593266849312</v>
      </c>
      <c r="Y26" s="120">
        <v>976</v>
      </c>
      <c r="Z26" s="94"/>
      <c r="AH26" s="97">
        <v>7</v>
      </c>
      <c r="AI26" s="111" t="s">
        <v>1165</v>
      </c>
      <c r="AJ26" s="111">
        <v>18500000</v>
      </c>
      <c r="AK26" s="97">
        <v>1</v>
      </c>
      <c r="AL26" s="97">
        <f t="shared" si="10"/>
        <v>1107</v>
      </c>
      <c r="AM26" s="111">
        <f t="shared" si="11"/>
        <v>20479500000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897</v>
      </c>
      <c r="T27" s="207" t="s">
        <v>4649</v>
      </c>
      <c r="U27" s="207">
        <v>168.8</v>
      </c>
      <c r="V27" s="207">
        <f t="shared" si="6"/>
        <v>287.518658630137</v>
      </c>
      <c r="W27" s="32">
        <f t="shared" ref="W27:W30" si="13">V27*(1+$W$19/100)</f>
        <v>293.26903180273973</v>
      </c>
      <c r="X27" s="32">
        <f t="shared" ref="X27:X30" si="14">V27*(1+$X$19/100)</f>
        <v>299.01940497534247</v>
      </c>
      <c r="Y27" s="120">
        <v>9222</v>
      </c>
      <c r="Z27" s="94"/>
      <c r="AH27" s="97">
        <v>8</v>
      </c>
      <c r="AI27" s="111" t="s">
        <v>1174</v>
      </c>
      <c r="AJ27" s="111">
        <v>-18550000</v>
      </c>
      <c r="AK27" s="97">
        <v>1</v>
      </c>
      <c r="AL27" s="97">
        <f t="shared" si="10"/>
        <v>1106</v>
      </c>
      <c r="AM27" s="111">
        <f t="shared" si="11"/>
        <v>-20516300000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821</v>
      </c>
      <c r="T28" s="207" t="s">
        <v>4858</v>
      </c>
      <c r="U28" s="207">
        <v>218.5</v>
      </c>
      <c r="V28" s="207">
        <f t="shared" si="6"/>
        <v>359.43429589041097</v>
      </c>
      <c r="W28" s="32">
        <f t="shared" si="13"/>
        <v>366.62298180821921</v>
      </c>
      <c r="X28" s="32">
        <f t="shared" si="14"/>
        <v>373.81166772602739</v>
      </c>
      <c r="Y28" s="120">
        <v>5488</v>
      </c>
      <c r="Z28" s="94"/>
      <c r="AH28" s="97">
        <v>9</v>
      </c>
      <c r="AI28" s="111" t="s">
        <v>1181</v>
      </c>
      <c r="AJ28" s="111">
        <v>-64961</v>
      </c>
      <c r="AK28" s="97">
        <v>5</v>
      </c>
      <c r="AL28" s="97">
        <f t="shared" si="10"/>
        <v>1105</v>
      </c>
      <c r="AM28" s="111">
        <f t="shared" si="11"/>
        <v>-71781905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6530</v>
      </c>
      <c r="N29" s="111">
        <f>O29*P29</f>
        <v>2686000</v>
      </c>
      <c r="O29" s="255">
        <v>2686000</v>
      </c>
      <c r="P29" s="97">
        <v>1</v>
      </c>
      <c r="Q29" s="167">
        <v>15011877</v>
      </c>
      <c r="R29" s="207" t="s">
        <v>4860</v>
      </c>
      <c r="S29" s="194">
        <f>S28-3</f>
        <v>818</v>
      </c>
      <c r="T29" s="207" t="s">
        <v>4864</v>
      </c>
      <c r="U29" s="207">
        <v>197.1</v>
      </c>
      <c r="V29" s="207">
        <f t="shared" si="6"/>
        <v>323.77751999999998</v>
      </c>
      <c r="W29" s="32">
        <f t="shared" si="13"/>
        <v>330.25307040000001</v>
      </c>
      <c r="X29" s="32">
        <f t="shared" si="14"/>
        <v>336.72862079999999</v>
      </c>
      <c r="Y29" s="120">
        <v>75812</v>
      </c>
      <c r="Z29" s="94"/>
      <c r="AH29" s="97">
        <v>10</v>
      </c>
      <c r="AI29" s="111" t="s">
        <v>1197</v>
      </c>
      <c r="AJ29" s="111">
        <v>6400000</v>
      </c>
      <c r="AK29" s="97">
        <v>1</v>
      </c>
      <c r="AL29" s="97">
        <f t="shared" si="10"/>
        <v>1100</v>
      </c>
      <c r="AM29" s="111">
        <f t="shared" si="11"/>
        <v>7040000000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40827200</v>
      </c>
      <c r="O30" s="67">
        <v>26860</v>
      </c>
      <c r="P30" s="97">
        <f>P52</f>
        <v>1520</v>
      </c>
      <c r="Q30" s="167">
        <v>7046042.5001907032</v>
      </c>
      <c r="R30" s="207" t="s">
        <v>4871</v>
      </c>
      <c r="S30" s="194">
        <f>S29-5</f>
        <v>813</v>
      </c>
      <c r="T30" s="207" t="s">
        <v>5574</v>
      </c>
      <c r="U30" s="207">
        <v>194.4</v>
      </c>
      <c r="V30" s="207">
        <f t="shared" si="6"/>
        <v>318.59656767123295</v>
      </c>
      <c r="W30" s="32">
        <f t="shared" si="13"/>
        <v>324.9684990246576</v>
      </c>
      <c r="X30" s="32">
        <f t="shared" si="14"/>
        <v>331.34043037808226</v>
      </c>
      <c r="Y30" s="120">
        <v>36073</v>
      </c>
      <c r="Z30" s="94"/>
      <c r="AH30" s="97">
        <v>11</v>
      </c>
      <c r="AI30" s="111" t="s">
        <v>4039</v>
      </c>
      <c r="AJ30" s="111">
        <v>-170000</v>
      </c>
      <c r="AK30" s="97">
        <v>5</v>
      </c>
      <c r="AL30" s="97">
        <f t="shared" si="10"/>
        <v>1099</v>
      </c>
      <c r="AM30" s="111">
        <f t="shared" si="11"/>
        <v>-186830000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2700</v>
      </c>
      <c r="Q31" s="167">
        <v>5368238</v>
      </c>
      <c r="R31" s="207" t="s">
        <v>5581</v>
      </c>
      <c r="S31" s="194">
        <f>S30-465</f>
        <v>348</v>
      </c>
      <c r="T31" s="207" t="s">
        <v>5582</v>
      </c>
      <c r="U31" s="207">
        <v>1843</v>
      </c>
      <c r="V31" s="207">
        <f t="shared" si="6"/>
        <v>2363.0188602739727</v>
      </c>
      <c r="W31" s="32">
        <f t="shared" ref="W31:W34" si="15">V31*(1+$W$19/100)</f>
        <v>2410.2792374794521</v>
      </c>
      <c r="X31" s="32">
        <f t="shared" ref="X31:X34" si="16">V31*(1+$X$19/100)</f>
        <v>2457.5396146849316</v>
      </c>
      <c r="Y31">
        <v>2902</v>
      </c>
      <c r="AA31" s="94"/>
      <c r="AH31" s="97">
        <v>12</v>
      </c>
      <c r="AI31" s="111" t="s">
        <v>1217</v>
      </c>
      <c r="AJ31" s="111">
        <v>-6300000</v>
      </c>
      <c r="AK31" s="97">
        <v>1</v>
      </c>
      <c r="AL31" s="97">
        <f>AL32+AK31</f>
        <v>1094</v>
      </c>
      <c r="AM31" s="111">
        <f t="shared" si="11"/>
        <v>-6892200000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18300</v>
      </c>
      <c r="Q32" s="167">
        <v>40195775</v>
      </c>
      <c r="R32" s="207" t="s">
        <v>5583</v>
      </c>
      <c r="S32" s="194">
        <f>S31-3</f>
        <v>345</v>
      </c>
      <c r="T32" s="207" t="s">
        <v>5584</v>
      </c>
      <c r="U32" s="207">
        <v>1751</v>
      </c>
      <c r="V32" s="207">
        <f t="shared" si="6"/>
        <v>2241.0305424657536</v>
      </c>
      <c r="W32" s="32">
        <f t="shared" si="15"/>
        <v>2285.8511533150686</v>
      </c>
      <c r="X32" s="32">
        <f t="shared" si="16"/>
        <v>2330.6717641643836</v>
      </c>
      <c r="Y32">
        <v>22871</v>
      </c>
      <c r="AH32" s="97">
        <v>13</v>
      </c>
      <c r="AI32" s="111" t="s">
        <v>1226</v>
      </c>
      <c r="AJ32" s="111">
        <v>-52015</v>
      </c>
      <c r="AK32" s="97">
        <v>16</v>
      </c>
      <c r="AL32" s="97">
        <f t="shared" si="10"/>
        <v>1093</v>
      </c>
      <c r="AM32" s="111">
        <f t="shared" si="11"/>
        <v>-56852395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471786385</v>
      </c>
      <c r="O33" s="67">
        <v>328771</v>
      </c>
      <c r="P33" s="97">
        <f>P49</f>
        <v>1435</v>
      </c>
      <c r="Q33" s="167">
        <v>16176504</v>
      </c>
      <c r="R33" s="207" t="s">
        <v>5585</v>
      </c>
      <c r="S33" s="194">
        <f>S32-1</f>
        <v>344</v>
      </c>
      <c r="T33" s="207" t="s">
        <v>5586</v>
      </c>
      <c r="U33" s="207">
        <v>1730</v>
      </c>
      <c r="V33" s="207">
        <f t="shared" si="6"/>
        <v>2212.8264109589045</v>
      </c>
      <c r="W33" s="32">
        <f t="shared" si="15"/>
        <v>2257.0829391780826</v>
      </c>
      <c r="X33" s="32">
        <f t="shared" si="16"/>
        <v>2301.3394673972607</v>
      </c>
      <c r="Y33">
        <v>9316</v>
      </c>
      <c r="Z33" t="s">
        <v>25</v>
      </c>
      <c r="AA33" s="94"/>
      <c r="AH33" s="97">
        <v>14</v>
      </c>
      <c r="AI33" s="111" t="s">
        <v>3692</v>
      </c>
      <c r="AJ33" s="111">
        <v>20017400</v>
      </c>
      <c r="AK33" s="97">
        <v>0</v>
      </c>
      <c r="AL33" s="97">
        <f t="shared" si="10"/>
        <v>1077</v>
      </c>
      <c r="AM33" s="111">
        <f t="shared" si="11"/>
        <v>21558739800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336</v>
      </c>
      <c r="T34" s="207" t="s">
        <v>5596</v>
      </c>
      <c r="U34" s="207">
        <v>1737.1</v>
      </c>
      <c r="V34" s="207">
        <f t="shared" si="6"/>
        <v>2211.2473939726028</v>
      </c>
      <c r="W34" s="32">
        <f t="shared" si="15"/>
        <v>2255.4723418520548</v>
      </c>
      <c r="X34" s="32">
        <f t="shared" si="16"/>
        <v>2299.6972897315072</v>
      </c>
      <c r="Y34">
        <v>27461</v>
      </c>
      <c r="AA34" s="94"/>
      <c r="AH34" s="97">
        <v>15</v>
      </c>
      <c r="AI34" s="111" t="s">
        <v>3692</v>
      </c>
      <c r="AJ34" s="111">
        <v>1014466</v>
      </c>
      <c r="AK34" s="97">
        <v>12</v>
      </c>
      <c r="AL34" s="97">
        <f t="shared" si="10"/>
        <v>1077</v>
      </c>
      <c r="AM34" s="111">
        <f t="shared" si="11"/>
        <v>1092579882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335</v>
      </c>
      <c r="T35" s="207" t="s">
        <v>5599</v>
      </c>
      <c r="U35" s="207">
        <v>1730.1</v>
      </c>
      <c r="V35" s="207">
        <f t="shared" si="6"/>
        <v>2201.0095200000001</v>
      </c>
      <c r="W35" s="32">
        <f t="shared" ref="W35:W36" si="17">V35*(1+$W$19/100)</f>
        <v>2245.0297104000001</v>
      </c>
      <c r="X35" s="32">
        <f t="shared" ref="X35:X36" si="18">V35*(1+$X$19/100)</f>
        <v>2289.0499008000002</v>
      </c>
      <c r="Y35">
        <v>28136</v>
      </c>
      <c r="Z35" t="s">
        <v>25</v>
      </c>
      <c r="AA35" s="94" t="s">
        <v>25</v>
      </c>
      <c r="AH35" s="97">
        <v>16</v>
      </c>
      <c r="AI35" s="111" t="s">
        <v>1128</v>
      </c>
      <c r="AJ35" s="111">
        <v>360000</v>
      </c>
      <c r="AK35" s="97">
        <v>2</v>
      </c>
      <c r="AL35" s="97">
        <f t="shared" si="10"/>
        <v>1065</v>
      </c>
      <c r="AM35" s="111">
        <f t="shared" si="11"/>
        <v>383400000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6508</v>
      </c>
      <c r="L36" s="115">
        <v>-34500000</v>
      </c>
      <c r="M36" s="166" t="s">
        <v>4131</v>
      </c>
      <c r="N36" s="111">
        <f>-W165</f>
        <v>-6700482123.9699631</v>
      </c>
      <c r="P36" t="s">
        <v>25</v>
      </c>
      <c r="Q36" s="167">
        <v>38191823</v>
      </c>
      <c r="R36" s="207" t="s">
        <v>5597</v>
      </c>
      <c r="S36" s="194">
        <f>S35-1</f>
        <v>334</v>
      </c>
      <c r="T36" s="207" t="s">
        <v>5598</v>
      </c>
      <c r="U36" s="207">
        <v>1646</v>
      </c>
      <c r="V36" s="207">
        <f t="shared" si="6"/>
        <v>2092.755967123288</v>
      </c>
      <c r="W36" s="32">
        <f t="shared" si="17"/>
        <v>2134.6110864657539</v>
      </c>
      <c r="X36" s="32">
        <f t="shared" si="18"/>
        <v>2176.4662058082195</v>
      </c>
      <c r="Y36">
        <v>23117</v>
      </c>
      <c r="AA36" s="94"/>
      <c r="AH36" s="97">
        <v>17</v>
      </c>
      <c r="AI36" s="111" t="s">
        <v>3752</v>
      </c>
      <c r="AJ36" s="111">
        <v>-350000</v>
      </c>
      <c r="AK36" s="97">
        <v>0</v>
      </c>
      <c r="AL36" s="97">
        <f t="shared" si="10"/>
        <v>1063</v>
      </c>
      <c r="AM36" s="111">
        <f t="shared" si="11"/>
        <v>-372050000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5600</v>
      </c>
      <c r="S37" s="194">
        <f>S36-3</f>
        <v>331</v>
      </c>
      <c r="T37" s="207" t="s">
        <v>5604</v>
      </c>
      <c r="U37" s="207">
        <v>1674.7</v>
      </c>
      <c r="V37" s="207">
        <f t="shared" si="6"/>
        <v>2125.3915934246579</v>
      </c>
      <c r="W37" s="32">
        <f t="shared" ref="W37:W40" si="19">V37*(1+$W$19/100)</f>
        <v>2167.8994252931511</v>
      </c>
      <c r="X37" s="32">
        <f t="shared" ref="X37:X40" si="20">V37*(1+$X$19/100)</f>
        <v>2210.4072571616443</v>
      </c>
      <c r="Y37">
        <v>41747</v>
      </c>
      <c r="Z37" t="s">
        <v>25</v>
      </c>
      <c r="AA37" s="94"/>
      <c r="AH37" s="97">
        <v>18</v>
      </c>
      <c r="AI37" s="111" t="s">
        <v>3752</v>
      </c>
      <c r="AJ37" s="111">
        <v>1000</v>
      </c>
      <c r="AK37" s="97">
        <v>1</v>
      </c>
      <c r="AL37" s="97">
        <f t="shared" si="10"/>
        <v>1063</v>
      </c>
      <c r="AM37" s="111">
        <f t="shared" si="11"/>
        <v>1063000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329</v>
      </c>
      <c r="T38" s="207" t="s">
        <v>5603</v>
      </c>
      <c r="U38" s="207">
        <v>1663</v>
      </c>
      <c r="V38" s="207">
        <f t="shared" si="6"/>
        <v>2107.9914630136991</v>
      </c>
      <c r="W38" s="32">
        <f t="shared" si="19"/>
        <v>2150.151292273973</v>
      </c>
      <c r="X38" s="32">
        <f t="shared" si="20"/>
        <v>2192.3111215342469</v>
      </c>
      <c r="Y38">
        <v>13949</v>
      </c>
      <c r="Z38" t="s">
        <v>25</v>
      </c>
      <c r="AA38" s="94"/>
      <c r="AH38" s="97">
        <v>19</v>
      </c>
      <c r="AI38" s="111" t="s">
        <v>3756</v>
      </c>
      <c r="AJ38" s="111">
        <v>33610000</v>
      </c>
      <c r="AK38" s="97">
        <v>4</v>
      </c>
      <c r="AL38" s="97">
        <f t="shared" si="10"/>
        <v>1062</v>
      </c>
      <c r="AM38" s="111">
        <f t="shared" si="11"/>
        <v>35693820000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328</v>
      </c>
      <c r="T39" s="207" t="s">
        <v>5610</v>
      </c>
      <c r="U39" s="207">
        <v>1580</v>
      </c>
      <c r="V39" s="207">
        <f t="shared" si="6"/>
        <v>2001.5699726027399</v>
      </c>
      <c r="W39" s="32">
        <f t="shared" si="19"/>
        <v>2041.6013720547946</v>
      </c>
      <c r="X39" s="32">
        <f t="shared" si="20"/>
        <v>2081.6327715068496</v>
      </c>
      <c r="Y39">
        <v>1016</v>
      </c>
      <c r="AA39" s="94" t="s">
        <v>25</v>
      </c>
      <c r="AB39" s="94"/>
      <c r="AC39" s="94"/>
      <c r="AD39" s="94"/>
      <c r="AH39" s="97">
        <v>20</v>
      </c>
      <c r="AI39" s="111" t="s">
        <v>4040</v>
      </c>
      <c r="AJ39" s="111">
        <v>-15600000</v>
      </c>
      <c r="AK39" s="97">
        <v>3</v>
      </c>
      <c r="AL39" s="97">
        <f t="shared" si="10"/>
        <v>1058</v>
      </c>
      <c r="AM39" s="111">
        <f t="shared" si="11"/>
        <v>-16504800000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323</v>
      </c>
      <c r="T40" s="207" t="s">
        <v>5614</v>
      </c>
      <c r="U40" s="207">
        <v>1560.1</v>
      </c>
      <c r="V40" s="207">
        <f t="shared" si="6"/>
        <v>1970.3763802739725</v>
      </c>
      <c r="W40" s="32">
        <f t="shared" si="19"/>
        <v>2009.783907879452</v>
      </c>
      <c r="X40" s="32">
        <f t="shared" si="20"/>
        <v>2049.1914354849314</v>
      </c>
      <c r="Y40">
        <v>360127</v>
      </c>
      <c r="Z40" s="113"/>
      <c r="AB40" s="94"/>
      <c r="AC40" s="94"/>
      <c r="AD40" s="94"/>
      <c r="AH40" s="97">
        <v>21</v>
      </c>
      <c r="AI40" s="111" t="s">
        <v>3770</v>
      </c>
      <c r="AJ40" s="111">
        <v>7500000</v>
      </c>
      <c r="AK40" s="97">
        <v>4</v>
      </c>
      <c r="AL40" s="97">
        <f t="shared" si="10"/>
        <v>1055</v>
      </c>
      <c r="AM40" s="111">
        <f t="shared" si="11"/>
        <v>7912500000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315</v>
      </c>
      <c r="T41" s="207" t="s">
        <v>5620</v>
      </c>
      <c r="U41" s="207">
        <v>1667</v>
      </c>
      <c r="V41" s="207">
        <f t="shared" si="6"/>
        <v>2095.1586739726026</v>
      </c>
      <c r="W41" s="32">
        <f t="shared" ref="W41:W42" si="21">V41*(1+$W$19/100)</f>
        <v>2137.0618474520547</v>
      </c>
      <c r="X41" s="32">
        <f t="shared" ref="X41:X42" si="22">V41*(1+$X$19/100)</f>
        <v>2178.9650209315068</v>
      </c>
      <c r="Y41">
        <v>486878</v>
      </c>
      <c r="Z41" s="113"/>
      <c r="AB41" s="94"/>
      <c r="AC41" s="94"/>
      <c r="AD41" s="94"/>
      <c r="AH41" s="97">
        <v>22</v>
      </c>
      <c r="AI41" s="111" t="s">
        <v>4041</v>
      </c>
      <c r="AJ41" s="111">
        <v>-98000</v>
      </c>
      <c r="AK41" s="97">
        <v>1</v>
      </c>
      <c r="AL41" s="97">
        <f t="shared" si="10"/>
        <v>1051</v>
      </c>
      <c r="AM41" s="111">
        <f t="shared" si="11"/>
        <v>-102998000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6497</v>
      </c>
      <c r="N42" s="111">
        <v>-34200000</v>
      </c>
      <c r="O42" s="278"/>
      <c r="P42" s="94" t="s">
        <v>25</v>
      </c>
      <c r="Q42" s="167">
        <v>2537951</v>
      </c>
      <c r="R42" s="207" t="s">
        <v>5634</v>
      </c>
      <c r="S42" s="194">
        <f>S41-5</f>
        <v>310</v>
      </c>
      <c r="T42" s="207" t="s">
        <v>5635</v>
      </c>
      <c r="U42" s="207">
        <v>1768.2</v>
      </c>
      <c r="V42" s="207">
        <f t="shared" si="6"/>
        <v>2215.569133150685</v>
      </c>
      <c r="W42" s="32">
        <f t="shared" si="21"/>
        <v>2259.8805158136988</v>
      </c>
      <c r="X42" s="32">
        <f t="shared" si="22"/>
        <v>2304.1918984767126</v>
      </c>
      <c r="Y42">
        <v>1430</v>
      </c>
      <c r="Z42" s="113"/>
      <c r="AB42" s="113"/>
      <c r="AC42" s="113"/>
      <c r="AD42" s="113"/>
      <c r="AE42" s="113"/>
      <c r="AF42" s="113"/>
      <c r="AH42" s="97">
        <v>23</v>
      </c>
      <c r="AI42" s="111" t="s">
        <v>4035</v>
      </c>
      <c r="AJ42" s="111">
        <v>-26000000</v>
      </c>
      <c r="AK42" s="97">
        <v>0</v>
      </c>
      <c r="AL42" s="97">
        <f t="shared" si="10"/>
        <v>1050</v>
      </c>
      <c r="AM42" s="111">
        <f t="shared" si="11"/>
        <v>-27300000000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5643</v>
      </c>
      <c r="S43" s="194">
        <f>S42-3</f>
        <v>307</v>
      </c>
      <c r="T43" s="207" t="s">
        <v>5650</v>
      </c>
      <c r="U43" s="207">
        <v>1582.3</v>
      </c>
      <c r="V43" s="207">
        <f t="shared" si="6"/>
        <v>1978.9934476712331</v>
      </c>
      <c r="W43" s="32">
        <f t="shared" ref="W43:W44" si="23">V43*(1+$W$19/100)</f>
        <v>2018.5733166246578</v>
      </c>
      <c r="X43" s="32">
        <f t="shared" ref="X43:X44" si="24">V43*(1+$X$19/100)</f>
        <v>2058.1531855780827</v>
      </c>
      <c r="Y43" s="94">
        <v>42448</v>
      </c>
      <c r="Z43" s="120"/>
      <c r="AB43" s="113"/>
      <c r="AC43" s="113"/>
      <c r="AD43" s="113"/>
      <c r="AE43" s="113"/>
      <c r="AF43" s="113"/>
      <c r="AH43" s="97">
        <v>24</v>
      </c>
      <c r="AI43" s="111" t="s">
        <v>4035</v>
      </c>
      <c r="AJ43" s="111">
        <v>25000000</v>
      </c>
      <c r="AK43" s="97">
        <v>1</v>
      </c>
      <c r="AL43" s="97">
        <f t="shared" si="10"/>
        <v>1050</v>
      </c>
      <c r="AM43" s="111">
        <f t="shared" si="11"/>
        <v>26250000000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1352</v>
      </c>
      <c r="O44" s="112"/>
      <c r="P44" t="s">
        <v>25</v>
      </c>
      <c r="Q44" s="167">
        <v>23400057</v>
      </c>
      <c r="R44" s="207" t="s">
        <v>5647</v>
      </c>
      <c r="S44" s="194">
        <f>S43-1</f>
        <v>306</v>
      </c>
      <c r="T44" s="207" t="s">
        <v>5651</v>
      </c>
      <c r="U44" s="207">
        <v>1610.6</v>
      </c>
      <c r="V44" s="207">
        <f t="shared" si="6"/>
        <v>2013.1529227397261</v>
      </c>
      <c r="W44" s="32">
        <f t="shared" si="23"/>
        <v>2053.4159811945206</v>
      </c>
      <c r="X44" s="32">
        <f t="shared" si="24"/>
        <v>2093.6790396493152</v>
      </c>
      <c r="Y44" s="94">
        <v>14475</v>
      </c>
      <c r="Z44" s="120" t="s">
        <v>25</v>
      </c>
      <c r="AB44" s="113"/>
      <c r="AC44" s="113"/>
      <c r="AD44" s="113" t="s">
        <v>25</v>
      </c>
      <c r="AE44" s="113"/>
      <c r="AF44" s="113"/>
      <c r="AH44" s="97">
        <v>25</v>
      </c>
      <c r="AI44" s="111" t="s">
        <v>4036</v>
      </c>
      <c r="AJ44" s="111">
        <v>110000</v>
      </c>
      <c r="AK44" s="97">
        <v>1</v>
      </c>
      <c r="AL44" s="97">
        <f t="shared" si="10"/>
        <v>1049</v>
      </c>
      <c r="AM44" s="111">
        <f t="shared" si="11"/>
        <v>115390000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6530</v>
      </c>
      <c r="N45" s="111">
        <f>O45*P45</f>
        <v>11228200</v>
      </c>
      <c r="O45" s="97">
        <v>11228200</v>
      </c>
      <c r="P45" s="97">
        <v>1</v>
      </c>
      <c r="Q45" s="167"/>
      <c r="R45" s="207" t="s">
        <v>5653</v>
      </c>
      <c r="S45" s="194">
        <f>S44-4</f>
        <v>302</v>
      </c>
      <c r="T45" s="207" t="s">
        <v>5654</v>
      </c>
      <c r="U45" s="207">
        <v>1582</v>
      </c>
      <c r="V45" s="207">
        <f t="shared" si="6"/>
        <v>1972.550290410959</v>
      </c>
      <c r="W45" s="32">
        <f t="shared" ref="W45:W46" si="25">V45*(1+$W$19/100)</f>
        <v>2012.0012962191781</v>
      </c>
      <c r="X45" s="32">
        <f t="shared" ref="X45:X46" si="26">V45*(1+$X$19/100)</f>
        <v>2051.4523020273973</v>
      </c>
      <c r="Y45" s="94">
        <v>71983</v>
      </c>
      <c r="Z45" s="120"/>
      <c r="AA45" s="94"/>
      <c r="AB45" s="113"/>
      <c r="AC45" s="113" t="s">
        <v>25</v>
      </c>
      <c r="AD45" s="113" t="s">
        <v>25</v>
      </c>
      <c r="AE45" s="113"/>
      <c r="AF45" s="113" t="s">
        <v>25</v>
      </c>
      <c r="AH45" s="97">
        <v>26</v>
      </c>
      <c r="AI45" s="111" t="s">
        <v>3785</v>
      </c>
      <c r="AJ45" s="111">
        <v>380000</v>
      </c>
      <c r="AK45" s="97">
        <v>7</v>
      </c>
      <c r="AL45" s="97">
        <f t="shared" si="10"/>
        <v>1048</v>
      </c>
      <c r="AM45" s="111">
        <f t="shared" si="11"/>
        <v>398240000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6465</v>
      </c>
      <c r="N46" s="115">
        <f>O46*P46</f>
        <v>42847665</v>
      </c>
      <c r="O46" s="67">
        <v>29859</v>
      </c>
      <c r="P46" s="67">
        <f>P49</f>
        <v>1435</v>
      </c>
      <c r="Q46" s="167"/>
      <c r="R46" s="207" t="s">
        <v>5655</v>
      </c>
      <c r="S46" s="194">
        <f>S45-1</f>
        <v>301</v>
      </c>
      <c r="T46" s="207" t="s">
        <v>5656</v>
      </c>
      <c r="U46" s="207">
        <v>1530</v>
      </c>
      <c r="V46" s="207">
        <f t="shared" si="6"/>
        <v>1906.5392876712331</v>
      </c>
      <c r="W46" s="32">
        <f t="shared" si="25"/>
        <v>1944.6700734246579</v>
      </c>
      <c r="X46" s="32">
        <f t="shared" si="26"/>
        <v>1982.8008591780824</v>
      </c>
      <c r="Y46" s="94">
        <v>2971</v>
      </c>
      <c r="Z46" s="120"/>
      <c r="AA46" s="94"/>
      <c r="AB46" s="113"/>
      <c r="AC46" s="113"/>
      <c r="AD46" s="113"/>
      <c r="AE46" s="113"/>
      <c r="AF46" s="113"/>
      <c r="AH46" s="97">
        <v>27</v>
      </c>
      <c r="AI46" s="111" t="s">
        <v>3871</v>
      </c>
      <c r="AJ46" s="111">
        <v>450000</v>
      </c>
      <c r="AK46" s="97">
        <v>6</v>
      </c>
      <c r="AL46" s="97">
        <f t="shared" si="10"/>
        <v>1041</v>
      </c>
      <c r="AM46" s="111">
        <f t="shared" si="11"/>
        <v>468450000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18300</v>
      </c>
      <c r="Q47" s="167"/>
      <c r="R47" s="207" t="s">
        <v>5658</v>
      </c>
      <c r="S47" s="194">
        <f>S46-2</f>
        <v>299</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1035</v>
      </c>
      <c r="AM47" s="111">
        <f t="shared" si="11"/>
        <v>2898000000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6498</v>
      </c>
      <c r="L48" s="115">
        <v>-43000000</v>
      </c>
      <c r="M48" s="19" t="s">
        <v>4361</v>
      </c>
      <c r="N48" s="115">
        <f t="shared" si="27"/>
        <v>19158600</v>
      </c>
      <c r="O48" s="67">
        <v>863</v>
      </c>
      <c r="P48" s="67">
        <v>22200</v>
      </c>
      <c r="Q48" s="167"/>
      <c r="R48" s="207" t="s">
        <v>5674</v>
      </c>
      <c r="S48" s="194">
        <f>S47-19</f>
        <v>280</v>
      </c>
      <c r="T48" s="207" t="s">
        <v>5675</v>
      </c>
      <c r="U48" s="207">
        <v>1160</v>
      </c>
      <c r="V48" s="207">
        <f t="shared" si="6"/>
        <v>1426.7936438356164</v>
      </c>
      <c r="W48" s="32">
        <f t="shared" si="28"/>
        <v>1455.3295167123288</v>
      </c>
      <c r="X48" s="32">
        <f t="shared" si="29"/>
        <v>1483.8653895890411</v>
      </c>
      <c r="Y48" s="94">
        <v>53136</v>
      </c>
      <c r="Z48" s="120"/>
      <c r="AA48" s="94"/>
      <c r="AB48" s="113" t="s">
        <v>25</v>
      </c>
      <c r="AC48" s="113"/>
      <c r="AD48" s="113"/>
      <c r="AE48" s="113"/>
      <c r="AF48" s="113"/>
      <c r="AH48" s="97">
        <v>29</v>
      </c>
      <c r="AI48" s="111" t="s">
        <v>3896</v>
      </c>
      <c r="AJ48" s="111">
        <v>-1500000</v>
      </c>
      <c r="AK48" s="97">
        <v>0</v>
      </c>
      <c r="AL48" s="97">
        <f t="shared" si="10"/>
        <v>1034</v>
      </c>
      <c r="AM48" s="111">
        <f t="shared" si="11"/>
        <v>-1551000000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5414233475</v>
      </c>
      <c r="O49" s="97">
        <v>3772985</v>
      </c>
      <c r="P49" s="97">
        <v>1435</v>
      </c>
      <c r="Q49" s="167"/>
      <c r="R49" s="207" t="s">
        <v>5676</v>
      </c>
      <c r="S49" s="194">
        <f>S48-1</f>
        <v>279</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1034</v>
      </c>
      <c r="AM49" s="111">
        <f t="shared" si="11"/>
        <v>3153700000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6670</v>
      </c>
      <c r="L50" s="115">
        <v>1000000</v>
      </c>
      <c r="M50" s="19" t="s">
        <v>5890</v>
      </c>
      <c r="N50" s="111">
        <f>O50*P50</f>
        <v>15041700</v>
      </c>
      <c r="O50" s="97">
        <v>5571</v>
      </c>
      <c r="P50" s="97">
        <v>2700</v>
      </c>
      <c r="Q50" s="167"/>
      <c r="R50" s="207" t="s">
        <v>5678</v>
      </c>
      <c r="S50" s="194">
        <f>S49-1</f>
        <v>278</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1031</v>
      </c>
      <c r="AM50" s="111">
        <f t="shared" si="11"/>
        <v>-8556899972</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5859</v>
      </c>
      <c r="N51" s="111">
        <f>O51*P51</f>
        <v>0</v>
      </c>
      <c r="O51" s="97">
        <v>0</v>
      </c>
      <c r="P51" s="97">
        <v>8133</v>
      </c>
      <c r="Q51" s="167"/>
      <c r="R51" s="207" t="s">
        <v>5680</v>
      </c>
      <c r="S51" s="194">
        <f>S50-3</f>
        <v>275</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1029</v>
      </c>
      <c r="AM51" s="111">
        <f t="shared" si="11"/>
        <v>5145000000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6667</v>
      </c>
      <c r="L52" s="115">
        <v>540000</v>
      </c>
      <c r="M52" s="19" t="s">
        <v>5275</v>
      </c>
      <c r="N52" s="111">
        <f t="shared" si="27"/>
        <v>1117520720</v>
      </c>
      <c r="O52" s="97">
        <v>735211</v>
      </c>
      <c r="P52" s="97">
        <v>1520</v>
      </c>
      <c r="Q52" s="167"/>
      <c r="R52" s="207" t="s">
        <v>5683</v>
      </c>
      <c r="S52" s="194">
        <f>S51-2</f>
        <v>273</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1015</v>
      </c>
      <c r="AM52" s="111">
        <f t="shared" si="11"/>
        <v>-91350000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5823</v>
      </c>
      <c r="N53" s="111">
        <f t="shared" si="27"/>
        <v>86232950</v>
      </c>
      <c r="O53" s="97">
        <v>59471</v>
      </c>
      <c r="P53" s="97">
        <v>1450</v>
      </c>
      <c r="Q53" s="167" t="s">
        <v>25</v>
      </c>
      <c r="R53" s="207" t="s">
        <v>5686</v>
      </c>
      <c r="S53" s="194">
        <f>S52-7</f>
        <v>266</v>
      </c>
      <c r="T53" s="207" t="s">
        <v>6524</v>
      </c>
      <c r="U53" s="207">
        <v>1100</v>
      </c>
      <c r="V53" s="207">
        <f t="shared" si="30"/>
        <v>1341.1802739726029</v>
      </c>
      <c r="W53" s="32">
        <f t="shared" si="28"/>
        <v>1368.0038794520549</v>
      </c>
      <c r="X53" s="32">
        <f t="shared" si="29"/>
        <v>1394.8274849315071</v>
      </c>
      <c r="Y53" s="94">
        <v>101322</v>
      </c>
      <c r="Z53" s="120"/>
      <c r="AA53" s="94"/>
      <c r="AH53" s="97">
        <v>34</v>
      </c>
      <c r="AI53" s="111" t="s">
        <v>4037</v>
      </c>
      <c r="AJ53" s="111">
        <v>5600000</v>
      </c>
      <c r="AK53" s="97">
        <v>4</v>
      </c>
      <c r="AL53" s="97">
        <f t="shared" si="10"/>
        <v>1014</v>
      </c>
      <c r="AM53" s="111">
        <f t="shared" si="11"/>
        <v>5678400000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1150000</v>
      </c>
      <c r="Q54" s="167"/>
      <c r="R54" s="207" t="s">
        <v>965</v>
      </c>
      <c r="S54" s="290">
        <f>S53-20</f>
        <v>246</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1010</v>
      </c>
      <c r="AM54" s="111">
        <f t="shared" si="11"/>
        <v>757500000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25700</v>
      </c>
      <c r="Q55" s="167" t="s">
        <v>25</v>
      </c>
      <c r="R55" s="207" t="s">
        <v>5747</v>
      </c>
      <c r="S55" s="194">
        <f>S54-22</f>
        <v>224</v>
      </c>
      <c r="T55" s="207" t="s">
        <v>5748</v>
      </c>
      <c r="U55" s="207">
        <v>1302</v>
      </c>
      <c r="V55" s="207">
        <f t="shared" si="30"/>
        <v>1545.5203726027398</v>
      </c>
      <c r="W55" s="32">
        <f t="shared" si="28"/>
        <v>1576.4307800547947</v>
      </c>
      <c r="X55" s="32">
        <f t="shared" si="29"/>
        <v>1607.3411875068496</v>
      </c>
      <c r="Y55">
        <v>483004</v>
      </c>
      <c r="Z55" s="120" t="s">
        <v>25</v>
      </c>
      <c r="AA55" s="94"/>
      <c r="AH55" s="169">
        <v>36</v>
      </c>
      <c r="AI55" s="168" t="s">
        <v>3975</v>
      </c>
      <c r="AJ55" s="168">
        <v>-4242000</v>
      </c>
      <c r="AK55" s="169">
        <v>2</v>
      </c>
      <c r="AL55" s="169">
        <f t="shared" si="10"/>
        <v>1008</v>
      </c>
      <c r="AM55" s="168">
        <f t="shared" si="11"/>
        <v>-4275936000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223</v>
      </c>
      <c r="T56" s="207" t="s">
        <v>5754</v>
      </c>
      <c r="U56" s="207">
        <v>1250</v>
      </c>
      <c r="V56" s="207">
        <f t="shared" si="30"/>
        <v>1482.8356164383563</v>
      </c>
      <c r="W56" s="32">
        <f t="shared" ref="W56:W67" si="31">V56*(1+$W$19/100)</f>
        <v>1512.4923287671234</v>
      </c>
      <c r="X56" s="32">
        <f t="shared" ref="X56:X67" si="32">V56*(1+$X$19/100)</f>
        <v>1542.1490410958907</v>
      </c>
      <c r="Y56" s="120">
        <v>20399</v>
      </c>
      <c r="Z56" s="120"/>
      <c r="AA56" s="94"/>
      <c r="AH56" s="97">
        <v>37</v>
      </c>
      <c r="AI56" s="111" t="s">
        <v>3975</v>
      </c>
      <c r="AJ56" s="111">
        <v>4100000</v>
      </c>
      <c r="AK56" s="97">
        <v>0</v>
      </c>
      <c r="AL56" s="97">
        <f t="shared" si="10"/>
        <v>1006</v>
      </c>
      <c r="AM56" s="111">
        <f t="shared" si="11"/>
        <v>4124600000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219</v>
      </c>
      <c r="T57" s="207" t="s">
        <v>5758</v>
      </c>
      <c r="U57" s="207">
        <v>1195</v>
      </c>
      <c r="V57" s="207">
        <f t="shared" si="30"/>
        <v>1413.924</v>
      </c>
      <c r="W57" s="32">
        <f t="shared" si="31"/>
        <v>1442.2024799999999</v>
      </c>
      <c r="X57" s="32">
        <f t="shared" si="32"/>
        <v>1470.4809600000001</v>
      </c>
      <c r="Y57" s="120">
        <v>3122</v>
      </c>
      <c r="Z57" s="120"/>
      <c r="AA57" s="94"/>
      <c r="AH57" s="97">
        <v>38</v>
      </c>
      <c r="AI57" s="111" t="s">
        <v>3981</v>
      </c>
      <c r="AJ57" s="111">
        <v>4100000</v>
      </c>
      <c r="AK57" s="97">
        <v>1</v>
      </c>
      <c r="AL57" s="97">
        <f t="shared" si="10"/>
        <v>1006</v>
      </c>
      <c r="AM57" s="111">
        <f t="shared" si="11"/>
        <v>4124600000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O49-29775</f>
        <v>3743210</v>
      </c>
      <c r="P58" s="113"/>
      <c r="Q58" s="167"/>
      <c r="R58" s="207" t="s">
        <v>5764</v>
      </c>
      <c r="S58" s="194">
        <f>S57-4</f>
        <v>215</v>
      </c>
      <c r="T58" s="207" t="s">
        <v>5768</v>
      </c>
      <c r="U58" s="207">
        <v>1190</v>
      </c>
      <c r="V58" s="207">
        <f t="shared" si="30"/>
        <v>1404.3564931506851</v>
      </c>
      <c r="W58" s="32">
        <f t="shared" si="31"/>
        <v>1432.4436230136987</v>
      </c>
      <c r="X58" s="32">
        <f t="shared" si="32"/>
        <v>1460.5307528767125</v>
      </c>
      <c r="Y58" s="120">
        <v>129</v>
      </c>
      <c r="Z58" s="120"/>
      <c r="AA58" s="94"/>
      <c r="AH58" s="97">
        <v>39</v>
      </c>
      <c r="AI58" s="111" t="s">
        <v>3990</v>
      </c>
      <c r="AJ58" s="111">
        <v>790000</v>
      </c>
      <c r="AK58" s="97">
        <v>15</v>
      </c>
      <c r="AL58" s="97">
        <f t="shared" si="10"/>
        <v>1005</v>
      </c>
      <c r="AM58" s="111">
        <f t="shared" si="11"/>
        <v>793950000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5766</v>
      </c>
      <c r="S59" s="194">
        <f>S57-7</f>
        <v>212</v>
      </c>
      <c r="T59" s="207" t="s">
        <v>5767</v>
      </c>
      <c r="U59" s="207">
        <v>1147</v>
      </c>
      <c r="V59" s="207">
        <f t="shared" si="30"/>
        <v>1350.9711671232878</v>
      </c>
      <c r="W59" s="32">
        <f t="shared" si="31"/>
        <v>1377.9905904657537</v>
      </c>
      <c r="X59" s="32">
        <f t="shared" si="32"/>
        <v>1405.0100138082194</v>
      </c>
      <c r="Y59" s="120">
        <v>27849</v>
      </c>
      <c r="Z59" s="120"/>
      <c r="AA59" s="94"/>
      <c r="AB59" s="94"/>
      <c r="AC59" s="94"/>
      <c r="AH59" s="169">
        <v>40</v>
      </c>
      <c r="AI59" s="168" t="s">
        <v>4021</v>
      </c>
      <c r="AJ59" s="168">
        <v>-3865000</v>
      </c>
      <c r="AK59" s="169">
        <v>6</v>
      </c>
      <c r="AL59" s="169">
        <f t="shared" si="10"/>
        <v>990</v>
      </c>
      <c r="AM59" s="170">
        <f t="shared" si="11"/>
        <v>-3826350000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O52-38623</f>
        <v>696588</v>
      </c>
      <c r="P60" t="s">
        <v>25</v>
      </c>
      <c r="Q60" s="167"/>
      <c r="R60" s="207" t="s">
        <v>5770</v>
      </c>
      <c r="S60" s="194">
        <f>S59-2</f>
        <v>210</v>
      </c>
      <c r="T60" s="207" t="s">
        <v>5892</v>
      </c>
      <c r="U60" s="207">
        <v>1170</v>
      </c>
      <c r="V60" s="207">
        <f t="shared" si="30"/>
        <v>1376.2661917808221</v>
      </c>
      <c r="W60" s="32">
        <f t="shared" si="31"/>
        <v>1403.7915156164386</v>
      </c>
      <c r="X60" s="32">
        <f t="shared" si="32"/>
        <v>1431.3168394520551</v>
      </c>
      <c r="Y60" s="120">
        <v>17228</v>
      </c>
      <c r="Z60" s="120"/>
      <c r="AA60" s="94"/>
      <c r="AB60" s="94"/>
      <c r="AC60" s="94"/>
      <c r="AH60" s="20">
        <v>41</v>
      </c>
      <c r="AI60" s="115" t="s">
        <v>4051</v>
      </c>
      <c r="AJ60" s="115">
        <v>18800000</v>
      </c>
      <c r="AK60" s="20">
        <v>3</v>
      </c>
      <c r="AL60" s="97">
        <f t="shared" si="10"/>
        <v>984</v>
      </c>
      <c r="AM60" s="111">
        <f t="shared" si="11"/>
        <v>18499200000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6435</v>
      </c>
      <c r="S61" s="194">
        <f>S60-107</f>
        <v>103</v>
      </c>
      <c r="T61" s="207" t="s">
        <v>6436</v>
      </c>
      <c r="U61" s="207">
        <v>1017</v>
      </c>
      <c r="V61" s="207">
        <f t="shared" si="30"/>
        <v>1112.8153315068496</v>
      </c>
      <c r="W61" s="32">
        <f t="shared" si="31"/>
        <v>1135.0716381369866</v>
      </c>
      <c r="X61" s="32">
        <f t="shared" si="32"/>
        <v>1157.3279447671237</v>
      </c>
      <c r="Y61" s="120">
        <v>5185</v>
      </c>
      <c r="Z61" s="120"/>
      <c r="AA61" s="94"/>
      <c r="AB61" s="94"/>
      <c r="AC61" s="94"/>
      <c r="AH61" s="20">
        <v>42</v>
      </c>
      <c r="AI61" s="115" t="s">
        <v>4067</v>
      </c>
      <c r="AJ61" s="115">
        <v>500000</v>
      </c>
      <c r="AK61" s="20">
        <v>1</v>
      </c>
      <c r="AL61" s="97">
        <f t="shared" si="10"/>
        <v>981</v>
      </c>
      <c r="AM61" s="111">
        <f t="shared" si="11"/>
        <v>490500000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-W166</f>
        <v>-125241982.52940641</v>
      </c>
      <c r="P62" t="s">
        <v>25</v>
      </c>
      <c r="Q62" s="167"/>
      <c r="R62" s="207" t="s">
        <v>6437</v>
      </c>
      <c r="S62" s="194">
        <f>S61-3</f>
        <v>100</v>
      </c>
      <c r="T62" s="207" t="s">
        <v>6438</v>
      </c>
      <c r="U62" s="207">
        <v>990</v>
      </c>
      <c r="V62" s="207">
        <f t="shared" si="30"/>
        <v>1080.9932054794522</v>
      </c>
      <c r="W62" s="32">
        <f t="shared" si="31"/>
        <v>1102.6130695890413</v>
      </c>
      <c r="X62" s="32">
        <f t="shared" si="32"/>
        <v>1124.2329336986304</v>
      </c>
      <c r="Y62" s="120">
        <v>5969</v>
      </c>
      <c r="Z62" s="120"/>
      <c r="AA62" s="94"/>
      <c r="AB62" s="94"/>
      <c r="AC62" s="94"/>
      <c r="AH62" s="20">
        <v>43</v>
      </c>
      <c r="AI62" s="115" t="s">
        <v>4071</v>
      </c>
      <c r="AJ62" s="115">
        <v>200000</v>
      </c>
      <c r="AK62" s="20">
        <v>3</v>
      </c>
      <c r="AL62" s="97">
        <f>AL63+AK62</f>
        <v>980</v>
      </c>
      <c r="AM62" s="111">
        <f t="shared" si="11"/>
        <v>196000000</v>
      </c>
      <c r="AN62" s="20"/>
    </row>
    <row r="63" spans="1:45">
      <c r="E63" s="26"/>
      <c r="J63" s="112"/>
      <c r="K63" s="166"/>
      <c r="L63" s="115"/>
      <c r="M63" s="166"/>
      <c r="N63" s="111"/>
      <c r="O63">
        <f>O46-1132</f>
        <v>28727</v>
      </c>
      <c r="P63" t="s">
        <v>25</v>
      </c>
      <c r="Q63" s="167"/>
      <c r="R63" s="207" t="s">
        <v>6439</v>
      </c>
      <c r="S63" s="194">
        <f>S62-1</f>
        <v>99</v>
      </c>
      <c r="T63" s="207" t="s">
        <v>6440</v>
      </c>
      <c r="U63" s="207">
        <v>966</v>
      </c>
      <c r="V63" s="207">
        <f t="shared" si="30"/>
        <v>1054.0462684931508</v>
      </c>
      <c r="W63" s="32">
        <f t="shared" si="31"/>
        <v>1075.1271938630139</v>
      </c>
      <c r="X63" s="32">
        <f t="shared" si="32"/>
        <v>1096.2081192328769</v>
      </c>
      <c r="Y63" s="120">
        <v>6038</v>
      </c>
      <c r="Z63" s="120"/>
      <c r="AA63" s="94"/>
      <c r="AB63" s="94"/>
      <c r="AC63" s="94"/>
      <c r="AH63" s="20">
        <v>44</v>
      </c>
      <c r="AI63" s="115" t="s">
        <v>4078</v>
      </c>
      <c r="AJ63" s="115">
        <v>1000000</v>
      </c>
      <c r="AK63" s="20">
        <v>3</v>
      </c>
      <c r="AL63" s="97">
        <f t="shared" si="10"/>
        <v>977</v>
      </c>
      <c r="AM63" s="111">
        <f t="shared" si="11"/>
        <v>977000000</v>
      </c>
      <c r="AN63" s="20"/>
    </row>
    <row r="64" spans="1:45">
      <c r="E64" s="26"/>
      <c r="K64" s="166"/>
      <c r="L64" s="115"/>
      <c r="M64" s="166"/>
      <c r="N64" s="111"/>
      <c r="Q64" s="167"/>
      <c r="R64" s="207" t="s">
        <v>6441</v>
      </c>
      <c r="S64" s="194">
        <f>S63-1</f>
        <v>98</v>
      </c>
      <c r="T64" s="207" t="s">
        <v>6442</v>
      </c>
      <c r="U64" s="207">
        <v>993</v>
      </c>
      <c r="V64" s="207">
        <f t="shared" si="30"/>
        <v>1082.7454356164385</v>
      </c>
      <c r="W64" s="32">
        <f t="shared" si="31"/>
        <v>1104.4003443287672</v>
      </c>
      <c r="X64" s="32">
        <f t="shared" si="32"/>
        <v>1126.055253041096</v>
      </c>
      <c r="Y64" s="120">
        <v>12133</v>
      </c>
      <c r="Z64" s="120"/>
      <c r="AA64" s="94" t="s">
        <v>25</v>
      </c>
      <c r="AB64" s="94"/>
      <c r="AC64" s="94"/>
      <c r="AH64" s="20">
        <v>45</v>
      </c>
      <c r="AI64" s="115" t="s">
        <v>4090</v>
      </c>
      <c r="AJ64" s="115">
        <v>1300000</v>
      </c>
      <c r="AK64" s="20">
        <v>0</v>
      </c>
      <c r="AL64" s="97">
        <f>AL65+AK64</f>
        <v>974</v>
      </c>
      <c r="AM64" s="111">
        <f t="shared" si="11"/>
        <v>1266200000</v>
      </c>
      <c r="AN64" s="20"/>
    </row>
    <row r="65" spans="1:40">
      <c r="K65" s="166"/>
      <c r="L65" s="115"/>
      <c r="M65" s="166"/>
      <c r="N65" s="111">
        <f>SUM(N16:N64)</f>
        <v>4227362701.5006304</v>
      </c>
      <c r="P65" t="s">
        <v>25</v>
      </c>
      <c r="Q65" s="167"/>
      <c r="R65" s="207" t="s">
        <v>6444</v>
      </c>
      <c r="S65" s="194">
        <f>S64-2</f>
        <v>96</v>
      </c>
      <c r="T65" s="207" t="s">
        <v>6445</v>
      </c>
      <c r="U65" s="207">
        <v>1028</v>
      </c>
      <c r="V65" s="207">
        <f t="shared" si="30"/>
        <v>1119.3314630136988</v>
      </c>
      <c r="W65" s="32">
        <f t="shared" si="31"/>
        <v>1141.7180922739728</v>
      </c>
      <c r="X65" s="32">
        <f t="shared" si="32"/>
        <v>1164.1047215342469</v>
      </c>
      <c r="Y65" s="120">
        <v>48358</v>
      </c>
      <c r="Z65" s="120"/>
      <c r="AA65" s="94"/>
      <c r="AB65" s="94"/>
      <c r="AC65" s="94"/>
      <c r="AH65" s="20">
        <v>45</v>
      </c>
      <c r="AI65" s="115" t="s">
        <v>4090</v>
      </c>
      <c r="AJ65" s="115">
        <v>995000</v>
      </c>
      <c r="AK65" s="20">
        <v>2</v>
      </c>
      <c r="AL65" s="97">
        <f t="shared" ref="AL65:AL92" si="33">AL66+AK65</f>
        <v>974</v>
      </c>
      <c r="AM65" s="111">
        <f t="shared" si="11"/>
        <v>969130000</v>
      </c>
      <c r="AN65" s="20"/>
    </row>
    <row r="66" spans="1:40">
      <c r="K66" s="166" t="s">
        <v>593</v>
      </c>
      <c r="L66" s="111">
        <f>SUM(L16:L48)</f>
        <v>6576562809.9699631</v>
      </c>
      <c r="M66" s="166"/>
      <c r="N66" s="111">
        <f>N16+N17+N37</f>
        <v>641053</v>
      </c>
      <c r="P66" t="s">
        <v>25</v>
      </c>
      <c r="Q66" s="167"/>
      <c r="R66" s="207" t="s">
        <v>6500</v>
      </c>
      <c r="S66" s="194">
        <f>S65-49</f>
        <v>47</v>
      </c>
      <c r="T66" s="207" t="s">
        <v>6520</v>
      </c>
      <c r="U66" s="207">
        <v>1036</v>
      </c>
      <c r="V66" s="207">
        <f t="shared" si="30"/>
        <v>1089.0999671232878</v>
      </c>
      <c r="W66" s="32">
        <f t="shared" si="31"/>
        <v>1110.8819664657535</v>
      </c>
      <c r="X66" s="32">
        <f t="shared" si="32"/>
        <v>1132.6639658082192</v>
      </c>
      <c r="Y66" s="120">
        <v>13012</v>
      </c>
      <c r="Z66" s="120"/>
      <c r="AA66" s="94"/>
      <c r="AB66" s="94"/>
      <c r="AC66" s="94"/>
      <c r="AH66" s="20">
        <v>46</v>
      </c>
      <c r="AI66" s="115" t="s">
        <v>4099</v>
      </c>
      <c r="AJ66" s="115">
        <v>13000000</v>
      </c>
      <c r="AK66" s="20">
        <v>2</v>
      </c>
      <c r="AL66" s="97">
        <f t="shared" si="33"/>
        <v>972</v>
      </c>
      <c r="AM66" s="111">
        <f t="shared" si="11"/>
        <v>12636000000</v>
      </c>
      <c r="AN66" s="20"/>
    </row>
    <row r="67" spans="1:40">
      <c r="A67" t="s">
        <v>25</v>
      </c>
      <c r="F67" t="s">
        <v>310</v>
      </c>
      <c r="G67" t="s">
        <v>4082</v>
      </c>
      <c r="K67" s="166" t="s">
        <v>594</v>
      </c>
      <c r="L67" s="111">
        <f>L16+L17+L28</f>
        <v>4956372</v>
      </c>
      <c r="M67" s="111"/>
      <c r="N67" s="166"/>
      <c r="O67" s="113"/>
      <c r="P67" s="113" t="s">
        <v>25</v>
      </c>
      <c r="Q67" s="167"/>
      <c r="R67" s="207" t="s">
        <v>6517</v>
      </c>
      <c r="S67" s="194">
        <f>S66-17</f>
        <v>30</v>
      </c>
      <c r="T67" s="207" t="s">
        <v>6551</v>
      </c>
      <c r="U67" s="207">
        <v>1178</v>
      </c>
      <c r="V67" s="207">
        <f t="shared" si="30"/>
        <v>1223.0157369863016</v>
      </c>
      <c r="W67" s="32">
        <f t="shared" si="31"/>
        <v>1247.4760517260277</v>
      </c>
      <c r="X67" s="32">
        <f t="shared" si="32"/>
        <v>1271.9363664657537</v>
      </c>
      <c r="Y67" s="120">
        <v>22680</v>
      </c>
      <c r="Z67" s="120"/>
      <c r="AA67" s="94"/>
      <c r="AB67" s="94"/>
      <c r="AC67" s="94"/>
      <c r="AH67" s="20">
        <v>47</v>
      </c>
      <c r="AI67" s="115" t="s">
        <v>4112</v>
      </c>
      <c r="AJ67" s="115">
        <v>-3100000</v>
      </c>
      <c r="AK67" s="20">
        <v>3</v>
      </c>
      <c r="AL67" s="97">
        <f t="shared" si="33"/>
        <v>970</v>
      </c>
      <c r="AM67" s="111">
        <f t="shared" si="11"/>
        <v>-3007000000</v>
      </c>
      <c r="AN67" s="20"/>
    </row>
    <row r="68" spans="1:40">
      <c r="F68" t="s">
        <v>4086</v>
      </c>
      <c r="G68" t="s">
        <v>4081</v>
      </c>
      <c r="K68" s="54" t="s">
        <v>709</v>
      </c>
      <c r="L68" s="1">
        <f>L66+N7</f>
        <v>6676562809.9699631</v>
      </c>
      <c r="O68" s="94"/>
      <c r="P68" s="120" t="s">
        <v>25</v>
      </c>
      <c r="Q68" s="167"/>
      <c r="R68" s="207" t="s">
        <v>6523</v>
      </c>
      <c r="S68" s="194">
        <f>S67-2</f>
        <v>28</v>
      </c>
      <c r="T68" s="207" t="s">
        <v>6525</v>
      </c>
      <c r="U68" s="207">
        <v>1343</v>
      </c>
      <c r="V68" s="207">
        <f t="shared" si="30"/>
        <v>1392.2605041095892</v>
      </c>
      <c r="W68" s="32">
        <f t="shared" ref="W68:W78" si="34">V68*(1+$W$19/100)</f>
        <v>1420.1057141917811</v>
      </c>
      <c r="X68" s="32">
        <f t="shared" ref="X68:X78" si="35">V68*(1+$X$19/100)</f>
        <v>1447.9509242739728</v>
      </c>
      <c r="Y68" s="120"/>
      <c r="Z68" s="120">
        <v>11006</v>
      </c>
      <c r="AA68" s="94"/>
      <c r="AB68" s="94" t="s">
        <v>25</v>
      </c>
      <c r="AC68" s="94"/>
      <c r="AH68" s="20">
        <v>48</v>
      </c>
      <c r="AI68" s="115" t="s">
        <v>4127</v>
      </c>
      <c r="AJ68" s="115">
        <v>45640000</v>
      </c>
      <c r="AK68" s="20">
        <v>1</v>
      </c>
      <c r="AL68" s="97">
        <f t="shared" si="33"/>
        <v>967</v>
      </c>
      <c r="AM68" s="111">
        <f t="shared" si="11"/>
        <v>44133880000</v>
      </c>
      <c r="AN68" s="20"/>
    </row>
    <row r="69" spans="1:40">
      <c r="F69" t="s">
        <v>4087</v>
      </c>
      <c r="G69" t="s">
        <v>4083</v>
      </c>
      <c r="M69" s="25"/>
      <c r="O69" t="s">
        <v>25</v>
      </c>
      <c r="Q69" s="167"/>
      <c r="R69" s="207" t="s">
        <v>6526</v>
      </c>
      <c r="S69" s="194">
        <f>S68-1</f>
        <v>27</v>
      </c>
      <c r="T69" s="207" t="s">
        <v>6527</v>
      </c>
      <c r="U69" s="207">
        <v>1350.4</v>
      </c>
      <c r="V69" s="207">
        <f t="shared" si="30"/>
        <v>1398.8960087671237</v>
      </c>
      <c r="W69" s="32">
        <f t="shared" si="34"/>
        <v>1426.8739289424661</v>
      </c>
      <c r="X69" s="32">
        <f t="shared" si="35"/>
        <v>1454.8518491178088</v>
      </c>
      <c r="Y69" s="120"/>
      <c r="Z69" s="120">
        <v>48370</v>
      </c>
      <c r="AA69" s="94"/>
      <c r="AB69" s="94" t="s">
        <v>25</v>
      </c>
      <c r="AC69" s="94"/>
      <c r="AH69" s="20">
        <v>49</v>
      </c>
      <c r="AI69" s="115" t="s">
        <v>4132</v>
      </c>
      <c r="AJ69" s="115">
        <v>33500000</v>
      </c>
      <c r="AK69" s="20">
        <v>1</v>
      </c>
      <c r="AL69" s="97">
        <f t="shared" si="33"/>
        <v>966</v>
      </c>
      <c r="AM69" s="111">
        <f t="shared" si="11"/>
        <v>32361000000</v>
      </c>
      <c r="AN69" s="20"/>
    </row>
    <row r="70" spans="1:40">
      <c r="G70" t="s">
        <v>4084</v>
      </c>
      <c r="M70" s="25"/>
      <c r="N70" s="94"/>
      <c r="O70" s="94" t="s">
        <v>25</v>
      </c>
      <c r="P70" s="113"/>
      <c r="Q70" s="167"/>
      <c r="R70" s="207" t="s">
        <v>6531</v>
      </c>
      <c r="S70" s="194">
        <f>S69-4</f>
        <v>23</v>
      </c>
      <c r="T70" s="207" t="s">
        <v>6532</v>
      </c>
      <c r="U70" s="207">
        <v>1350.3</v>
      </c>
      <c r="V70" s="207">
        <f t="shared" si="30"/>
        <v>1394.6490312328767</v>
      </c>
      <c r="W70" s="32">
        <f t="shared" si="34"/>
        <v>1422.5420118575344</v>
      </c>
      <c r="X70" s="32">
        <f t="shared" si="35"/>
        <v>1450.4349924821918</v>
      </c>
      <c r="Y70" s="120"/>
      <c r="Z70" s="120">
        <v>8875</v>
      </c>
      <c r="AA70" s="94"/>
      <c r="AH70" s="20">
        <v>50</v>
      </c>
      <c r="AI70" s="115" t="s">
        <v>4137</v>
      </c>
      <c r="AJ70" s="115">
        <v>12000000</v>
      </c>
      <c r="AK70" s="20">
        <v>1</v>
      </c>
      <c r="AL70" s="97">
        <f t="shared" si="33"/>
        <v>965</v>
      </c>
      <c r="AM70" s="115">
        <f t="shared" si="11"/>
        <v>11580000000</v>
      </c>
      <c r="AN70" s="20"/>
    </row>
    <row r="71" spans="1:40">
      <c r="G71" t="s">
        <v>4085</v>
      </c>
      <c r="M71" s="175"/>
      <c r="N71" s="94"/>
      <c r="O71" s="94" t="s">
        <v>6426</v>
      </c>
      <c r="P71" s="113"/>
      <c r="Q71" s="167"/>
      <c r="R71" s="207" t="s">
        <v>6542</v>
      </c>
      <c r="S71" s="194">
        <f>S70-1</f>
        <v>22</v>
      </c>
      <c r="T71" s="207" t="s">
        <v>6544</v>
      </c>
      <c r="U71" s="207">
        <v>1375.2</v>
      </c>
      <c r="V71" s="207">
        <f t="shared" si="30"/>
        <v>1419.3118947945209</v>
      </c>
      <c r="W71" s="32">
        <f t="shared" si="34"/>
        <v>1447.6981326904113</v>
      </c>
      <c r="X71" s="32">
        <f t="shared" si="35"/>
        <v>1476.0843705863017</v>
      </c>
      <c r="Y71" s="120"/>
      <c r="Z71" s="120">
        <v>26514</v>
      </c>
      <c r="AA71" s="94"/>
      <c r="AH71" s="20">
        <v>51</v>
      </c>
      <c r="AI71" s="115" t="s">
        <v>4142</v>
      </c>
      <c r="AJ71" s="115">
        <v>15500000</v>
      </c>
      <c r="AK71" s="20">
        <v>4</v>
      </c>
      <c r="AL71" s="97">
        <f t="shared" si="33"/>
        <v>964</v>
      </c>
      <c r="AM71" s="115">
        <f t="shared" si="11"/>
        <v>14942000000</v>
      </c>
      <c r="AN71" s="20"/>
    </row>
    <row r="72" spans="1:40">
      <c r="G72" t="s">
        <v>4089</v>
      </c>
      <c r="M72" s="94"/>
      <c r="N72" s="94"/>
      <c r="O72" s="120" t="s">
        <v>6427</v>
      </c>
      <c r="Q72" s="167"/>
      <c r="R72" s="207" t="s">
        <v>6548</v>
      </c>
      <c r="S72" s="194">
        <f>S71-1</f>
        <v>21</v>
      </c>
      <c r="T72" s="207" t="s">
        <v>6550</v>
      </c>
      <c r="U72" s="207">
        <v>1406</v>
      </c>
      <c r="V72" s="207">
        <f t="shared" si="30"/>
        <v>1450.021282191781</v>
      </c>
      <c r="W72" s="32">
        <f t="shared" si="34"/>
        <v>1479.0217078356166</v>
      </c>
      <c r="X72" s="32">
        <f t="shared" si="35"/>
        <v>1508.0221334794524</v>
      </c>
      <c r="Y72" s="120"/>
      <c r="Z72" s="120">
        <v>19133</v>
      </c>
      <c r="AA72" s="94"/>
      <c r="AH72" s="20">
        <v>52</v>
      </c>
      <c r="AI72" s="115" t="s">
        <v>4146</v>
      </c>
      <c r="AJ72" s="115">
        <v>150000</v>
      </c>
      <c r="AK72" s="20">
        <v>1</v>
      </c>
      <c r="AL72" s="97">
        <f t="shared" si="33"/>
        <v>960</v>
      </c>
      <c r="AM72" s="115">
        <f t="shared" si="11"/>
        <v>144000000</v>
      </c>
      <c r="AN72" s="20"/>
    </row>
    <row r="73" spans="1:40">
      <c r="G73" t="s">
        <v>4088</v>
      </c>
      <c r="M73" s="120" t="s">
        <v>4375</v>
      </c>
      <c r="O73" s="112" t="s">
        <v>6428</v>
      </c>
      <c r="Q73" s="167"/>
      <c r="R73" s="207" t="s">
        <v>6643</v>
      </c>
      <c r="S73" s="194">
        <f>S72-2</f>
        <v>19</v>
      </c>
      <c r="T73" s="207" t="s">
        <v>6644</v>
      </c>
      <c r="U73" s="207">
        <v>1303</v>
      </c>
      <c r="V73" s="207">
        <f t="shared" si="30"/>
        <v>1341.7972712328767</v>
      </c>
      <c r="W73" s="32">
        <f t="shared" si="34"/>
        <v>1368.6332166575344</v>
      </c>
      <c r="X73" s="32">
        <f t="shared" si="35"/>
        <v>1395.4691620821918</v>
      </c>
      <c r="Y73" s="120">
        <v>14667</v>
      </c>
      <c r="Z73" s="120"/>
      <c r="AA73" s="94"/>
      <c r="AH73" s="177">
        <v>53</v>
      </c>
      <c r="AI73" s="178" t="s">
        <v>4152</v>
      </c>
      <c r="AJ73" s="178">
        <v>29000000</v>
      </c>
      <c r="AK73" s="177">
        <v>15</v>
      </c>
      <c r="AL73" s="177">
        <f t="shared" si="33"/>
        <v>959</v>
      </c>
      <c r="AM73" s="178">
        <f t="shared" si="11"/>
        <v>27811000000</v>
      </c>
      <c r="AN73" s="177" t="s">
        <v>4162</v>
      </c>
    </row>
    <row r="74" spans="1:40">
      <c r="M74" s="120"/>
      <c r="N74" s="94"/>
      <c r="O74" s="120" t="s">
        <v>6434</v>
      </c>
      <c r="Q74" s="167"/>
      <c r="R74" s="207" t="s">
        <v>6649</v>
      </c>
      <c r="S74" s="194">
        <f>S73-3</f>
        <v>16</v>
      </c>
      <c r="T74" s="207" t="s">
        <v>6650</v>
      </c>
      <c r="U74" s="207">
        <v>1340</v>
      </c>
      <c r="V74" s="207">
        <f t="shared" si="30"/>
        <v>1376.8151232876712</v>
      </c>
      <c r="W74" s="32">
        <f t="shared" si="34"/>
        <v>1404.3514257534246</v>
      </c>
      <c r="X74" s="32">
        <f t="shared" si="35"/>
        <v>1431.8877282191781</v>
      </c>
      <c r="Y74" s="120">
        <v>13488</v>
      </c>
      <c r="Z74" s="120"/>
      <c r="AA74" s="94"/>
      <c r="AC74" t="s">
        <v>25</v>
      </c>
      <c r="AH74" s="20">
        <v>54</v>
      </c>
      <c r="AI74" s="115" t="s">
        <v>4186</v>
      </c>
      <c r="AJ74" s="115">
        <v>-130000</v>
      </c>
      <c r="AK74" s="20">
        <v>7</v>
      </c>
      <c r="AL74" s="97">
        <f t="shared" si="33"/>
        <v>944</v>
      </c>
      <c r="AM74" s="115">
        <f t="shared" si="11"/>
        <v>-122720000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937</v>
      </c>
      <c r="AM75" s="115">
        <f>AJ75*AL75</f>
        <v>217384000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935</v>
      </c>
      <c r="AM76" s="115">
        <f t="shared" si="11"/>
        <v>-158950000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932</v>
      </c>
      <c r="AM77" s="115">
        <f t="shared" si="11"/>
        <v>-279600000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929</v>
      </c>
      <c r="AM78" s="115">
        <f t="shared" si="11"/>
        <v>-10590600000</v>
      </c>
      <c r="AN78" s="20"/>
    </row>
    <row r="79" spans="1:40">
      <c r="D79" s="1" t="s">
        <v>306</v>
      </c>
      <c r="E79" s="1">
        <v>80000</v>
      </c>
      <c r="G79" s="94"/>
      <c r="H79" s="94"/>
      <c r="K79" t="s">
        <v>4522</v>
      </c>
      <c r="L79" s="94"/>
      <c r="M79" s="94"/>
      <c r="N79" s="94"/>
      <c r="Q79" s="167">
        <f>SUM(N22:N25)-SUM(Q20:Q78)</f>
        <v>2072543471.6758094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916</v>
      </c>
      <c r="AM79" s="115">
        <f>AJ79*AL79</f>
        <v>-9160000000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915</v>
      </c>
      <c r="AM80" s="115">
        <f>AJ80*AL80</f>
        <v>-2241750000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910</v>
      </c>
      <c r="AM81" s="115">
        <f t="shared" si="11"/>
        <v>-415033710</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909</v>
      </c>
      <c r="AM82" s="115">
        <f t="shared" si="11"/>
        <v>-454500000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907</v>
      </c>
      <c r="AM83" s="115">
        <f t="shared" si="11"/>
        <v>-5654573590</v>
      </c>
      <c r="AN83" s="20"/>
      <c r="AU83"/>
    </row>
    <row r="84" spans="4:52">
      <c r="D84" s="18" t="s">
        <v>311</v>
      </c>
      <c r="E84" s="18">
        <v>300000</v>
      </c>
      <c r="F84" s="94"/>
      <c r="G84" s="94"/>
      <c r="H84" s="94"/>
      <c r="I84" s="94"/>
      <c r="J84" s="94"/>
      <c r="K84" t="s">
        <v>4525</v>
      </c>
      <c r="M84" s="243" t="s">
        <v>4935</v>
      </c>
      <c r="Q84" s="166">
        <v>0</v>
      </c>
      <c r="R84" s="166" t="s">
        <v>4152</v>
      </c>
      <c r="S84" s="166">
        <f>S116</f>
        <v>1045</v>
      </c>
      <c r="T84" s="166"/>
      <c r="U84" s="166"/>
      <c r="V84" s="71"/>
      <c r="W84" s="32"/>
      <c r="X84" s="32"/>
      <c r="AC84" s="126"/>
      <c r="AD84" s="113"/>
      <c r="AE84" s="113"/>
      <c r="AF84" s="113"/>
      <c r="AH84" s="20">
        <v>64</v>
      </c>
      <c r="AI84" s="115" t="s">
        <v>4368</v>
      </c>
      <c r="AJ84" s="115">
        <v>1950957</v>
      </c>
      <c r="AK84" s="20">
        <v>4</v>
      </c>
      <c r="AL84" s="97">
        <f t="shared" si="33"/>
        <v>904</v>
      </c>
      <c r="AM84" s="115">
        <f t="shared" si="11"/>
        <v>1763665128</v>
      </c>
      <c r="AN84" s="20"/>
      <c r="AZ84" t="s">
        <v>25</v>
      </c>
    </row>
    <row r="85" spans="4:52">
      <c r="D85" s="32" t="s">
        <v>312</v>
      </c>
      <c r="E85" s="1">
        <v>200000</v>
      </c>
      <c r="F85" s="94"/>
      <c r="G85" s="94"/>
      <c r="H85" s="94"/>
      <c r="I85" s="94"/>
      <c r="J85" s="94"/>
      <c r="K85" t="s">
        <v>4483</v>
      </c>
      <c r="M85" s="243" t="s">
        <v>4936</v>
      </c>
      <c r="Q85" s="167">
        <v>863944</v>
      </c>
      <c r="R85" s="166" t="s">
        <v>4397</v>
      </c>
      <c r="S85" s="166">
        <f>S84-62</f>
        <v>983</v>
      </c>
      <c r="T85" s="188" t="s">
        <v>4458</v>
      </c>
      <c r="U85" s="166">
        <v>184.6</v>
      </c>
      <c r="V85" s="166">
        <f t="shared" ref="V85:V102" si="37">U85*(1+$R$112+$Q$15*S85/36500)</f>
        <v>326.60949260273969</v>
      </c>
      <c r="W85" s="32">
        <f t="shared" ref="W85:W92" si="38">V85*(1+$W$19/100)</f>
        <v>333.14168245479448</v>
      </c>
      <c r="X85" s="32">
        <f t="shared" ref="X85:X92" si="39">V85*(1+$X$19/100)</f>
        <v>339.67387230684932</v>
      </c>
      <c r="Y85" s="94">
        <v>4661</v>
      </c>
      <c r="AA85" s="113"/>
      <c r="AB85" s="113"/>
      <c r="AC85" s="126"/>
      <c r="AD85" s="113"/>
      <c r="AE85" s="113"/>
      <c r="AF85" s="113"/>
      <c r="AH85" s="20">
        <v>65</v>
      </c>
      <c r="AI85" s="115" t="s">
        <v>4391</v>
      </c>
      <c r="AJ85" s="115">
        <v>600000</v>
      </c>
      <c r="AK85" s="20">
        <v>5</v>
      </c>
      <c r="AL85" s="97">
        <f t="shared" si="33"/>
        <v>900</v>
      </c>
      <c r="AM85" s="115">
        <f t="shared" si="11"/>
        <v>540000000</v>
      </c>
      <c r="AN85" s="20"/>
    </row>
    <row r="86" spans="4:52">
      <c r="D86" s="32" t="s">
        <v>313</v>
      </c>
      <c r="E86" s="1">
        <v>20000</v>
      </c>
      <c r="F86" s="94"/>
      <c r="G86" s="94"/>
      <c r="H86" s="94"/>
      <c r="I86" s="94"/>
      <c r="J86" s="94"/>
      <c r="K86" s="22" t="s">
        <v>4219</v>
      </c>
      <c r="Q86" s="167">
        <v>1692313</v>
      </c>
      <c r="R86" s="166" t="s">
        <v>4461</v>
      </c>
      <c r="S86" s="194">
        <f>S85-21</f>
        <v>962</v>
      </c>
      <c r="T86" s="187" t="s">
        <v>4462</v>
      </c>
      <c r="U86" s="166">
        <v>168.5</v>
      </c>
      <c r="V86" s="166">
        <f t="shared" si="37"/>
        <v>295.40958356164384</v>
      </c>
      <c r="W86" s="32">
        <f t="shared" si="38"/>
        <v>301.31777523287673</v>
      </c>
      <c r="X86" s="32">
        <f t="shared" si="39"/>
        <v>307.22596690410961</v>
      </c>
      <c r="Y86" s="94">
        <v>10000</v>
      </c>
      <c r="AA86" s="113"/>
      <c r="AB86" s="113"/>
      <c r="AC86" s="126"/>
      <c r="AD86" s="113"/>
      <c r="AE86" s="113"/>
      <c r="AF86" s="113"/>
      <c r="AH86" s="20">
        <v>66</v>
      </c>
      <c r="AI86" s="115" t="s">
        <v>4399</v>
      </c>
      <c r="AJ86" s="115">
        <v>7500000</v>
      </c>
      <c r="AK86" s="20">
        <v>2</v>
      </c>
      <c r="AL86" s="97">
        <f t="shared" si="33"/>
        <v>895</v>
      </c>
      <c r="AM86" s="115">
        <f t="shared" si="11"/>
        <v>6712500000</v>
      </c>
      <c r="AN86" s="20"/>
      <c r="AS86" s="94"/>
    </row>
    <row r="87" spans="4:52">
      <c r="D87" s="32" t="s">
        <v>315</v>
      </c>
      <c r="E87" s="1">
        <v>50000</v>
      </c>
      <c r="G87" s="94"/>
      <c r="H87" s="94"/>
      <c r="K87" t="s">
        <v>4480</v>
      </c>
      <c r="Q87" s="167">
        <v>101153</v>
      </c>
      <c r="R87" s="166" t="s">
        <v>4464</v>
      </c>
      <c r="S87" s="194">
        <f>S86-1</f>
        <v>961</v>
      </c>
      <c r="T87" s="187" t="s">
        <v>4466</v>
      </c>
      <c r="U87" s="166">
        <v>166.7</v>
      </c>
      <c r="V87" s="166">
        <f t="shared" si="37"/>
        <v>292.12599342465757</v>
      </c>
      <c r="W87" s="32">
        <f t="shared" si="38"/>
        <v>297.96851329315075</v>
      </c>
      <c r="X87" s="32">
        <f t="shared" si="39"/>
        <v>303.81103316164388</v>
      </c>
      <c r="Y87" s="94">
        <v>604</v>
      </c>
      <c r="AA87" s="120" t="s">
        <v>25</v>
      </c>
      <c r="AB87" s="113"/>
      <c r="AC87" s="126"/>
      <c r="AD87" s="113"/>
      <c r="AE87" s="113"/>
      <c r="AF87" s="113"/>
      <c r="AH87" s="20">
        <v>67</v>
      </c>
      <c r="AI87" s="115" t="s">
        <v>4403</v>
      </c>
      <c r="AJ87" s="115">
        <v>-587816</v>
      </c>
      <c r="AK87" s="20">
        <v>3</v>
      </c>
      <c r="AL87" s="97">
        <f t="shared" si="33"/>
        <v>893</v>
      </c>
      <c r="AM87" s="115">
        <f t="shared" si="11"/>
        <v>-524919688</v>
      </c>
      <c r="AN87" s="20"/>
      <c r="AS87" s="94"/>
    </row>
    <row r="88" spans="4:52" ht="18.75">
      <c r="D88" s="32" t="s">
        <v>316</v>
      </c>
      <c r="E88" s="1">
        <v>90000</v>
      </c>
      <c r="F88" s="94"/>
      <c r="G88" s="94"/>
      <c r="H88" s="94"/>
      <c r="I88" s="94"/>
      <c r="J88" s="94"/>
      <c r="K88" t="s">
        <v>4271</v>
      </c>
      <c r="M88" s="287" t="s">
        <v>5578</v>
      </c>
      <c r="Q88" s="167">
        <v>183105</v>
      </c>
      <c r="R88" s="166" t="s">
        <v>4207</v>
      </c>
      <c r="S88" s="194">
        <f>S87-1</f>
        <v>960</v>
      </c>
      <c r="T88" s="187" t="s">
        <v>4470</v>
      </c>
      <c r="U88" s="166">
        <v>166.6</v>
      </c>
      <c r="V88" s="166">
        <f t="shared" si="37"/>
        <v>291.82295013698626</v>
      </c>
      <c r="W88" s="32">
        <f t="shared" si="38"/>
        <v>297.65940913972599</v>
      </c>
      <c r="X88" s="32">
        <f t="shared" si="39"/>
        <v>303.49586814246572</v>
      </c>
      <c r="Y88" s="94">
        <v>1094</v>
      </c>
      <c r="AA88" s="113" t="s">
        <v>25</v>
      </c>
      <c r="AB88" s="113"/>
      <c r="AC88" s="126"/>
      <c r="AD88" s="113"/>
      <c r="AE88" s="113"/>
      <c r="AF88" s="113"/>
      <c r="AH88" s="20">
        <v>68</v>
      </c>
      <c r="AI88" s="115" t="s">
        <v>4402</v>
      </c>
      <c r="AJ88" s="115">
        <v>-907489</v>
      </c>
      <c r="AK88" s="20">
        <v>0</v>
      </c>
      <c r="AL88" s="97">
        <f>AL89+AK88</f>
        <v>890</v>
      </c>
      <c r="AM88" s="115">
        <f t="shared" si="11"/>
        <v>-807665210</v>
      </c>
      <c r="AN88" s="20"/>
      <c r="AP88" t="s">
        <v>25</v>
      </c>
      <c r="AV88" t="s">
        <v>25</v>
      </c>
    </row>
    <row r="89" spans="4:52">
      <c r="D89" s="32" t="s">
        <v>317</v>
      </c>
      <c r="E89" s="1">
        <v>50000</v>
      </c>
      <c r="K89" t="s">
        <v>25</v>
      </c>
      <c r="M89" s="190"/>
      <c r="Q89" s="167">
        <v>168846</v>
      </c>
      <c r="R89" s="166" t="s">
        <v>3675</v>
      </c>
      <c r="S89" s="194">
        <f>S88-30</f>
        <v>930</v>
      </c>
      <c r="T89" s="187" t="s">
        <v>4552</v>
      </c>
      <c r="U89" s="166">
        <v>172.2</v>
      </c>
      <c r="V89" s="166">
        <f t="shared" si="37"/>
        <v>297.66916602739724</v>
      </c>
      <c r="W89" s="32">
        <f t="shared" si="38"/>
        <v>303.62254934794521</v>
      </c>
      <c r="X89" s="32">
        <f t="shared" si="39"/>
        <v>309.57593266849312</v>
      </c>
      <c r="Y89" s="94">
        <v>976</v>
      </c>
      <c r="AA89" s="113"/>
      <c r="AB89" s="113"/>
      <c r="AC89" s="113" t="s">
        <v>25</v>
      </c>
      <c r="AD89" s="113"/>
      <c r="AE89" s="113"/>
      <c r="AF89" s="113"/>
      <c r="AG89" s="113"/>
      <c r="AH89" s="20">
        <v>69</v>
      </c>
      <c r="AI89" s="115" t="s">
        <v>4402</v>
      </c>
      <c r="AJ89" s="115">
        <v>2450000</v>
      </c>
      <c r="AK89" s="20">
        <v>1</v>
      </c>
      <c r="AL89" s="97">
        <f t="shared" si="33"/>
        <v>890</v>
      </c>
      <c r="AM89" s="115">
        <f t="shared" si="11"/>
        <v>2180500000</v>
      </c>
      <c r="AN89" s="20" t="s">
        <v>4433</v>
      </c>
      <c r="AQ89" t="s">
        <v>25</v>
      </c>
      <c r="AR89" t="s">
        <v>25</v>
      </c>
    </row>
    <row r="90" spans="4:52">
      <c r="D90" s="32" t="s">
        <v>327</v>
      </c>
      <c r="E90" s="1">
        <v>150000</v>
      </c>
      <c r="F90" s="94"/>
      <c r="G90" s="94"/>
      <c r="H90" s="94"/>
      <c r="I90" s="94"/>
      <c r="J90" s="94"/>
      <c r="K90" s="94"/>
      <c r="Q90" s="167">
        <v>19918023</v>
      </c>
      <c r="R90" s="5" t="s">
        <v>4778</v>
      </c>
      <c r="S90" s="194">
        <f>S89-75</f>
        <v>855</v>
      </c>
      <c r="T90" s="187" t="s">
        <v>4780</v>
      </c>
      <c r="U90" s="207">
        <v>183</v>
      </c>
      <c r="V90" s="207">
        <f t="shared" si="37"/>
        <v>305.80954520547948</v>
      </c>
      <c r="W90" s="32">
        <f t="shared" si="38"/>
        <v>311.92573610958908</v>
      </c>
      <c r="X90" s="32">
        <f t="shared" si="39"/>
        <v>318.04192701369868</v>
      </c>
      <c r="Y90" s="94">
        <v>108344</v>
      </c>
      <c r="Z90" s="113"/>
      <c r="AA90" s="113"/>
      <c r="AB90" s="113"/>
      <c r="AC90" s="113"/>
      <c r="AD90" s="113"/>
      <c r="AE90"/>
      <c r="AG90" s="113"/>
      <c r="AH90" s="20">
        <v>70</v>
      </c>
      <c r="AI90" s="115" t="s">
        <v>4435</v>
      </c>
      <c r="AJ90" s="115">
        <v>1500000</v>
      </c>
      <c r="AK90" s="20">
        <v>1</v>
      </c>
      <c r="AL90" s="97">
        <f t="shared" si="33"/>
        <v>889</v>
      </c>
      <c r="AM90" s="115">
        <f t="shared" si="11"/>
        <v>1333500000</v>
      </c>
      <c r="AN90" s="20"/>
      <c r="AP90" t="s">
        <v>25</v>
      </c>
      <c r="AU90" s="94" t="s">
        <v>25</v>
      </c>
    </row>
    <row r="91" spans="4:52">
      <c r="D91" s="32" t="s">
        <v>318</v>
      </c>
      <c r="E91" s="1">
        <v>15000</v>
      </c>
      <c r="F91" s="94"/>
      <c r="G91" s="94"/>
      <c r="H91" s="94"/>
      <c r="I91" s="94"/>
      <c r="J91" s="94"/>
      <c r="K91" s="94"/>
      <c r="Q91" s="167">
        <v>1200301</v>
      </c>
      <c r="R91" s="19" t="s">
        <v>4857</v>
      </c>
      <c r="S91" s="194">
        <f>S90-34</f>
        <v>821</v>
      </c>
      <c r="T91" s="187" t="s">
        <v>4859</v>
      </c>
      <c r="U91" s="207">
        <v>218.5</v>
      </c>
      <c r="V91" s="207">
        <f t="shared" si="37"/>
        <v>359.43429589041097</v>
      </c>
      <c r="W91" s="32">
        <f t="shared" si="38"/>
        <v>366.62298180821921</v>
      </c>
      <c r="X91" s="32">
        <f t="shared" si="39"/>
        <v>373.81166772602739</v>
      </c>
      <c r="Y91" s="94">
        <v>5468</v>
      </c>
      <c r="Z91" s="113"/>
      <c r="AA91" s="113"/>
      <c r="AB91" s="113"/>
      <c r="AE91"/>
      <c r="AG91" s="94"/>
      <c r="AH91" s="20">
        <v>71</v>
      </c>
      <c r="AI91" s="115" t="s">
        <v>4441</v>
      </c>
      <c r="AJ91" s="115">
        <v>2648000</v>
      </c>
      <c r="AK91" s="20">
        <v>1</v>
      </c>
      <c r="AL91" s="97">
        <f t="shared" si="33"/>
        <v>888</v>
      </c>
      <c r="AM91" s="115">
        <f t="shared" si="11"/>
        <v>2351424000</v>
      </c>
      <c r="AN91" s="20" t="s">
        <v>4442</v>
      </c>
      <c r="AU91" s="94" t="s">
        <v>25</v>
      </c>
    </row>
    <row r="92" spans="4:52">
      <c r="D92" s="32" t="s">
        <v>319</v>
      </c>
      <c r="E92" s="1">
        <v>20000</v>
      </c>
      <c r="F92" s="94"/>
      <c r="G92" s="94"/>
      <c r="H92" s="94"/>
      <c r="K92" s="94"/>
      <c r="Q92" s="167">
        <v>5837196.2537021004</v>
      </c>
      <c r="R92" s="19" t="s">
        <v>4881</v>
      </c>
      <c r="S92" s="194">
        <f>S91-16</f>
        <v>805</v>
      </c>
      <c r="T92" s="187" t="s">
        <v>5608</v>
      </c>
      <c r="U92" s="207">
        <v>196.2</v>
      </c>
      <c r="V92" s="207">
        <f t="shared" si="37"/>
        <v>320.34245917808215</v>
      </c>
      <c r="W92" s="32">
        <f t="shared" si="38"/>
        <v>326.74930836164378</v>
      </c>
      <c r="X92" s="32">
        <f t="shared" si="39"/>
        <v>333.15615754520547</v>
      </c>
      <c r="Y92" s="94">
        <v>29619</v>
      </c>
      <c r="Z92" s="113"/>
      <c r="AA92" s="113"/>
      <c r="AB92" s="113"/>
      <c r="AE92"/>
      <c r="AG92" s="94"/>
      <c r="AH92" s="20">
        <v>72</v>
      </c>
      <c r="AI92" s="115" t="s">
        <v>4208</v>
      </c>
      <c r="AJ92" s="115">
        <v>615000</v>
      </c>
      <c r="AK92" s="20">
        <v>4</v>
      </c>
      <c r="AL92" s="97">
        <f t="shared" si="33"/>
        <v>887</v>
      </c>
      <c r="AM92" s="115">
        <f t="shared" si="11"/>
        <v>545505000</v>
      </c>
      <c r="AN92" s="20"/>
      <c r="AV92" t="s">
        <v>25</v>
      </c>
    </row>
    <row r="93" spans="4:52">
      <c r="D93" s="32" t="s">
        <v>320</v>
      </c>
      <c r="E93" s="1">
        <v>40000</v>
      </c>
      <c r="F93" s="94"/>
      <c r="G93" s="94"/>
      <c r="H93" s="94"/>
      <c r="I93" s="94"/>
      <c r="J93" s="94" t="s">
        <v>25</v>
      </c>
      <c r="K93" s="94"/>
      <c r="M93" s="94"/>
      <c r="Q93" s="167">
        <v>2948152</v>
      </c>
      <c r="R93" s="19" t="s">
        <v>5643</v>
      </c>
      <c r="S93" s="194">
        <f>S92-498</f>
        <v>307</v>
      </c>
      <c r="T93" s="187" t="s">
        <v>5644</v>
      </c>
      <c r="U93" s="207">
        <v>1550</v>
      </c>
      <c r="V93" s="207">
        <f t="shared" si="37"/>
        <v>1938.5956164383563</v>
      </c>
      <c r="W93" s="32">
        <f t="shared" ref="W93:W99" si="40">V93*(1+$W$19/100)</f>
        <v>1977.3675287671235</v>
      </c>
      <c r="X93" s="32">
        <f t="shared" ref="X93:X99" si="41">V93*(1+$X$19/100)</f>
        <v>2016.1394410958906</v>
      </c>
      <c r="Y93" s="94">
        <v>1895</v>
      </c>
      <c r="AB93" s="113"/>
      <c r="AE93"/>
      <c r="AG93" s="94"/>
      <c r="AH93" s="20">
        <v>73</v>
      </c>
      <c r="AI93" s="115" t="s">
        <v>4452</v>
      </c>
      <c r="AJ93" s="115">
        <v>14000000</v>
      </c>
      <c r="AK93" s="20">
        <v>2</v>
      </c>
      <c r="AL93" s="97">
        <f>AL94+AK93</f>
        <v>883</v>
      </c>
      <c r="AM93" s="115">
        <f t="shared" si="11"/>
        <v>12362000000</v>
      </c>
      <c r="AN93" s="20"/>
    </row>
    <row r="94" spans="4:52">
      <c r="D94" s="32" t="s">
        <v>322</v>
      </c>
      <c r="E94" s="1">
        <v>150000</v>
      </c>
      <c r="F94" s="94"/>
      <c r="G94" s="94"/>
      <c r="H94" s="94" t="s">
        <v>25</v>
      </c>
      <c r="I94" s="94"/>
      <c r="J94" s="94"/>
      <c r="K94" s="94"/>
      <c r="L94" s="94"/>
      <c r="M94" s="94"/>
      <c r="Q94" s="167"/>
      <c r="R94" s="19" t="s">
        <v>5747</v>
      </c>
      <c r="S94" s="194">
        <f>S93-83</f>
        <v>224</v>
      </c>
      <c r="T94" s="187" t="s">
        <v>5749</v>
      </c>
      <c r="U94" s="207">
        <v>1275</v>
      </c>
      <c r="V94" s="207">
        <f t="shared" si="37"/>
        <v>1513.4704109589043</v>
      </c>
      <c r="W94" s="32">
        <f t="shared" si="40"/>
        <v>1543.7398191780824</v>
      </c>
      <c r="X94" s="32">
        <f t="shared" si="41"/>
        <v>1574.0092273972605</v>
      </c>
      <c r="Y94" s="94">
        <v>48654</v>
      </c>
      <c r="AH94" s="20">
        <v>74</v>
      </c>
      <c r="AI94" s="115" t="s">
        <v>4456</v>
      </c>
      <c r="AJ94" s="115">
        <v>1313000</v>
      </c>
      <c r="AK94" s="20">
        <v>0</v>
      </c>
      <c r="AL94" s="97">
        <f>AL95+AK94</f>
        <v>881</v>
      </c>
      <c r="AM94" s="115">
        <f t="shared" si="11"/>
        <v>1156753000</v>
      </c>
      <c r="AN94" s="20"/>
      <c r="AQ94" t="s">
        <v>25</v>
      </c>
    </row>
    <row r="95" spans="4:52">
      <c r="D95" s="32" t="s">
        <v>324</v>
      </c>
      <c r="E95" s="1">
        <v>75000</v>
      </c>
      <c r="F95" s="94"/>
      <c r="G95" s="94"/>
      <c r="H95" s="94"/>
      <c r="I95" s="94" t="s">
        <v>25</v>
      </c>
      <c r="J95" s="94" t="s">
        <v>25</v>
      </c>
      <c r="K95" s="94"/>
      <c r="L95" s="94"/>
      <c r="Q95" s="167"/>
      <c r="R95" s="19" t="s">
        <v>5757</v>
      </c>
      <c r="S95" s="194">
        <f>S94-5</f>
        <v>219</v>
      </c>
      <c r="T95" s="187" t="s">
        <v>5759</v>
      </c>
      <c r="U95" s="207">
        <v>1210</v>
      </c>
      <c r="V95" s="207">
        <f t="shared" si="37"/>
        <v>1431.672</v>
      </c>
      <c r="W95" s="32">
        <f t="shared" si="40"/>
        <v>1460.3054400000001</v>
      </c>
      <c r="X95" s="32">
        <f t="shared" si="41"/>
        <v>1488.9388800000002</v>
      </c>
      <c r="Y95" s="94">
        <v>450</v>
      </c>
      <c r="Z95" s="94"/>
      <c r="AA95" s="94"/>
      <c r="AH95" s="97">
        <v>75</v>
      </c>
      <c r="AI95" s="111" t="s">
        <v>4456</v>
      </c>
      <c r="AJ95" s="111">
        <v>2269000</v>
      </c>
      <c r="AK95" s="97">
        <v>1</v>
      </c>
      <c r="AL95" s="97">
        <f t="shared" ref="AL95:AL120" si="42">AL96+AK95</f>
        <v>881</v>
      </c>
      <c r="AM95" s="115">
        <f t="shared" si="11"/>
        <v>1998989000</v>
      </c>
      <c r="AN95" s="97"/>
    </row>
    <row r="96" spans="4:52">
      <c r="D96" s="32" t="s">
        <v>314</v>
      </c>
      <c r="E96" s="1">
        <v>140000</v>
      </c>
      <c r="F96" s="94"/>
      <c r="G96" s="94"/>
      <c r="H96" s="94"/>
      <c r="I96" s="94"/>
      <c r="J96" s="94"/>
      <c r="K96" s="94"/>
      <c r="Q96" s="167"/>
      <c r="R96" s="19" t="s">
        <v>5764</v>
      </c>
      <c r="S96" s="194">
        <f>S95-4</f>
        <v>215</v>
      </c>
      <c r="T96" s="187" t="s">
        <v>5765</v>
      </c>
      <c r="U96" s="207">
        <v>1175</v>
      </c>
      <c r="V96" s="207">
        <f t="shared" si="37"/>
        <v>1386.6545205479454</v>
      </c>
      <c r="W96" s="32">
        <f t="shared" si="40"/>
        <v>1414.3876109589044</v>
      </c>
      <c r="X96" s="32">
        <f t="shared" si="41"/>
        <v>1442.1207013698631</v>
      </c>
      <c r="Y96" s="94">
        <v>27754</v>
      </c>
      <c r="Z96" s="94"/>
      <c r="AA96" s="94"/>
      <c r="AH96" s="97">
        <v>76</v>
      </c>
      <c r="AI96" s="111" t="s">
        <v>4209</v>
      </c>
      <c r="AJ96" s="111">
        <v>750000</v>
      </c>
      <c r="AK96" s="97">
        <v>4</v>
      </c>
      <c r="AL96" s="97">
        <f t="shared" si="42"/>
        <v>880</v>
      </c>
      <c r="AM96" s="115">
        <f t="shared" si="11"/>
        <v>660000000</v>
      </c>
      <c r="AN96" s="97"/>
      <c r="AQ96" t="s">
        <v>25</v>
      </c>
    </row>
    <row r="97" spans="4:47">
      <c r="D97" s="2" t="s">
        <v>477</v>
      </c>
      <c r="E97" s="3">
        <v>1083333</v>
      </c>
      <c r="F97" s="94"/>
      <c r="G97" s="94"/>
      <c r="H97" s="94"/>
      <c r="I97" s="94" t="s">
        <v>25</v>
      </c>
      <c r="J97" s="94" t="s">
        <v>25</v>
      </c>
      <c r="K97" s="94"/>
      <c r="Q97" s="167"/>
      <c r="R97" s="19" t="s">
        <v>5766</v>
      </c>
      <c r="S97" s="194">
        <f>S96-3</f>
        <v>212</v>
      </c>
      <c r="T97" s="187" t="s">
        <v>5769</v>
      </c>
      <c r="U97" s="207">
        <v>1148</v>
      </c>
      <c r="V97" s="207">
        <f t="shared" si="37"/>
        <v>1352.1489972602742</v>
      </c>
      <c r="W97" s="32">
        <f t="shared" si="40"/>
        <v>1379.1919772054798</v>
      </c>
      <c r="X97" s="32">
        <f t="shared" si="41"/>
        <v>1406.2349571506852</v>
      </c>
      <c r="Y97" s="94">
        <v>8020</v>
      </c>
      <c r="Z97" s="94"/>
      <c r="AA97" s="94"/>
      <c r="AH97" s="97">
        <v>77</v>
      </c>
      <c r="AI97" s="111" t="s">
        <v>4461</v>
      </c>
      <c r="AJ97" s="111">
        <v>1900000</v>
      </c>
      <c r="AK97" s="97">
        <v>3</v>
      </c>
      <c r="AL97" s="97">
        <f t="shared" si="42"/>
        <v>876</v>
      </c>
      <c r="AM97" s="115">
        <f t="shared" si="11"/>
        <v>1664400000</v>
      </c>
      <c r="AN97" s="97"/>
    </row>
    <row r="98" spans="4:47">
      <c r="D98" s="2"/>
      <c r="E98" s="3"/>
      <c r="F98" s="359"/>
      <c r="G98" s="359"/>
      <c r="H98" s="359"/>
      <c r="I98" s="359"/>
      <c r="J98" s="359"/>
      <c r="K98" s="94"/>
      <c r="Q98" s="167"/>
      <c r="R98" s="19" t="s">
        <v>5772</v>
      </c>
      <c r="S98" s="194">
        <f>S97-1</f>
        <v>211</v>
      </c>
      <c r="T98" s="187" t="s">
        <v>5773</v>
      </c>
      <c r="U98" s="207">
        <v>1141</v>
      </c>
      <c r="V98" s="207">
        <f t="shared" si="37"/>
        <v>1343.0288986301371</v>
      </c>
      <c r="W98" s="32">
        <f t="shared" si="40"/>
        <v>1369.8894766027399</v>
      </c>
      <c r="X98" s="32">
        <f t="shared" si="41"/>
        <v>1396.7500545753426</v>
      </c>
      <c r="Y98" s="94">
        <v>3695</v>
      </c>
      <c r="Z98" s="94"/>
      <c r="AA98" s="94"/>
      <c r="AH98" s="97">
        <v>78</v>
      </c>
      <c r="AI98" s="111" t="s">
        <v>4474</v>
      </c>
      <c r="AJ98" s="111">
        <v>6400000</v>
      </c>
      <c r="AK98" s="97">
        <v>1</v>
      </c>
      <c r="AL98" s="97">
        <f t="shared" si="42"/>
        <v>873</v>
      </c>
      <c r="AM98" s="115">
        <f t="shared" si="11"/>
        <v>5587200000</v>
      </c>
      <c r="AN98" s="97"/>
    </row>
    <row r="99" spans="4:47">
      <c r="D99" s="2"/>
      <c r="E99" s="3"/>
      <c r="F99" s="94"/>
      <c r="G99" s="94"/>
      <c r="H99" s="94"/>
      <c r="I99" s="94"/>
      <c r="J99" s="94"/>
      <c r="K99" s="94"/>
      <c r="M99" s="94" t="s">
        <v>25</v>
      </c>
      <c r="Q99" s="167"/>
      <c r="R99" s="19" t="s">
        <v>5770</v>
      </c>
      <c r="S99" s="194">
        <f>S98-1</f>
        <v>210</v>
      </c>
      <c r="T99" s="187" t="s">
        <v>5774</v>
      </c>
      <c r="U99" s="207">
        <v>1171</v>
      </c>
      <c r="V99" s="207">
        <f t="shared" si="37"/>
        <v>1377.442487671233</v>
      </c>
      <c r="W99" s="32">
        <f t="shared" si="40"/>
        <v>1404.9913374246578</v>
      </c>
      <c r="X99" s="32">
        <f t="shared" si="41"/>
        <v>1432.5401871780823</v>
      </c>
      <c r="Y99" s="94">
        <v>58152</v>
      </c>
      <c r="AH99" s="97">
        <v>79</v>
      </c>
      <c r="AI99" s="111" t="s">
        <v>4472</v>
      </c>
      <c r="AJ99" s="111">
        <v>5000</v>
      </c>
      <c r="AK99" s="97">
        <v>5</v>
      </c>
      <c r="AL99" s="97">
        <f t="shared" si="42"/>
        <v>872</v>
      </c>
      <c r="AM99" s="115">
        <f t="shared" si="11"/>
        <v>4360000</v>
      </c>
      <c r="AN99" s="97"/>
      <c r="AP99" t="s">
        <v>25</v>
      </c>
    </row>
    <row r="100" spans="4:47">
      <c r="D100" s="2" t="s">
        <v>6</v>
      </c>
      <c r="E100" s="3">
        <f>SUM(E77:E98)</f>
        <v>3383333</v>
      </c>
      <c r="F100" s="94"/>
      <c r="G100" s="94"/>
      <c r="H100" s="94"/>
      <c r="I100" s="94"/>
      <c r="J100" s="94" t="s">
        <v>25</v>
      </c>
      <c r="K100" s="94"/>
      <c r="M100" s="94"/>
      <c r="Q100" s="167"/>
      <c r="R100" s="19" t="s">
        <v>5831</v>
      </c>
      <c r="S100" s="194">
        <f>S99-65</f>
        <v>145</v>
      </c>
      <c r="T100" s="187" t="s">
        <v>5832</v>
      </c>
      <c r="U100" s="207">
        <v>1255.0999999999999</v>
      </c>
      <c r="V100" s="207">
        <f t="shared" si="37"/>
        <v>1413.7859035616439</v>
      </c>
      <c r="W100" s="32">
        <f t="shared" ref="W100:W107" si="43">V100*(1+$W$19/100)</f>
        <v>1442.0616216328767</v>
      </c>
      <c r="X100" s="32">
        <f t="shared" ref="X100:X107" si="44">V100*(1+$X$19/100)</f>
        <v>1470.3373397041096</v>
      </c>
      <c r="Y100" s="94"/>
      <c r="Z100" s="94">
        <v>26860</v>
      </c>
      <c r="AA100" s="94"/>
      <c r="AH100" s="97">
        <v>80</v>
      </c>
      <c r="AI100" s="111" t="s">
        <v>4500</v>
      </c>
      <c r="AJ100" s="111">
        <v>-1750148</v>
      </c>
      <c r="AK100" s="97">
        <v>1</v>
      </c>
      <c r="AL100" s="97">
        <f t="shared" si="42"/>
        <v>867</v>
      </c>
      <c r="AM100" s="115">
        <f t="shared" si="11"/>
        <v>-1517378316</v>
      </c>
      <c r="AN100" s="97"/>
    </row>
    <row r="101" spans="4:47">
      <c r="D101" s="2" t="s">
        <v>328</v>
      </c>
      <c r="E101" s="3">
        <f>E100/30</f>
        <v>112777.76666666666</v>
      </c>
      <c r="F101" s="94"/>
      <c r="G101" s="94"/>
      <c r="H101" s="94"/>
      <c r="I101" s="94"/>
      <c r="J101" s="94" t="s">
        <v>25</v>
      </c>
      <c r="K101" s="112"/>
      <c r="L101" s="94"/>
      <c r="M101" s="94"/>
      <c r="Q101" s="167"/>
      <c r="R101" s="19" t="s">
        <v>6517</v>
      </c>
      <c r="S101" s="194">
        <f>S100-115</f>
        <v>30</v>
      </c>
      <c r="T101" s="187" t="s">
        <v>6518</v>
      </c>
      <c r="U101" s="207">
        <v>1160</v>
      </c>
      <c r="V101" s="207">
        <f t="shared" si="37"/>
        <v>1204.3278904109591</v>
      </c>
      <c r="W101" s="32">
        <f t="shared" si="43"/>
        <v>1228.4144482191782</v>
      </c>
      <c r="X101" s="32">
        <f t="shared" si="44"/>
        <v>1252.5010060273976</v>
      </c>
      <c r="Y101" s="94">
        <v>19187</v>
      </c>
      <c r="Z101" s="94"/>
      <c r="AA101" s="94"/>
      <c r="AH101" s="97">
        <v>81</v>
      </c>
      <c r="AI101" s="111" t="s">
        <v>4503</v>
      </c>
      <c r="AJ101" s="111">
        <v>400000</v>
      </c>
      <c r="AK101" s="97">
        <v>0</v>
      </c>
      <c r="AL101" s="97">
        <f t="shared" si="42"/>
        <v>866</v>
      </c>
      <c r="AM101" s="115">
        <f t="shared" si="11"/>
        <v>346400000</v>
      </c>
      <c r="AN101" s="97"/>
    </row>
    <row r="102" spans="4:47">
      <c r="F102" s="94"/>
      <c r="G102" s="94"/>
      <c r="H102" s="94"/>
      <c r="I102" s="94"/>
      <c r="J102" s="94" t="s">
        <v>25</v>
      </c>
      <c r="K102" s="94"/>
      <c r="L102" s="94"/>
      <c r="M102" s="94"/>
      <c r="Q102" s="167"/>
      <c r="R102" s="19" t="s">
        <v>6548</v>
      </c>
      <c r="S102" s="194">
        <f>S101-9</f>
        <v>21</v>
      </c>
      <c r="T102" s="187" t="s">
        <v>6549</v>
      </c>
      <c r="U102" s="207">
        <v>1323.4</v>
      </c>
      <c r="V102" s="207">
        <f t="shared" si="37"/>
        <v>1364.8351101369865</v>
      </c>
      <c r="W102" s="32">
        <f t="shared" si="43"/>
        <v>1392.1318123397261</v>
      </c>
      <c r="X102" s="32">
        <f t="shared" si="44"/>
        <v>1419.428514542466</v>
      </c>
      <c r="Y102" s="94">
        <v>198</v>
      </c>
      <c r="Z102" s="94"/>
      <c r="AA102" s="94"/>
      <c r="AH102" s="97">
        <v>82</v>
      </c>
      <c r="AI102" s="111" t="s">
        <v>4503</v>
      </c>
      <c r="AJ102" s="111">
        <v>-2105421</v>
      </c>
      <c r="AK102" s="97">
        <v>1</v>
      </c>
      <c r="AL102" s="97">
        <f t="shared" si="42"/>
        <v>866</v>
      </c>
      <c r="AM102" s="115">
        <f t="shared" si="11"/>
        <v>-1823294586</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865</v>
      </c>
      <c r="AM103" s="115">
        <f t="shared" si="11"/>
        <v>-4781389570</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865</v>
      </c>
      <c r="AM104" s="115">
        <f t="shared" si="11"/>
        <v>3373500000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862</v>
      </c>
      <c r="AM105" s="115">
        <f t="shared" si="11"/>
        <v>-3421927948</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861</v>
      </c>
      <c r="AM106" s="115">
        <f t="shared" si="11"/>
        <v>-22019605755</v>
      </c>
      <c r="AN106" s="97"/>
      <c r="AP106" t="s">
        <v>25</v>
      </c>
    </row>
    <row r="107" spans="4:47">
      <c r="F107" s="196">
        <f>$L$115/G107</f>
        <v>8013.9372822299656</v>
      </c>
      <c r="G107" s="196">
        <f>P49</f>
        <v>1435</v>
      </c>
      <c r="H107" s="196" t="s">
        <v>4704</v>
      </c>
      <c r="I107" s="196" t="s">
        <v>5294</v>
      </c>
      <c r="J107" s="208" t="s">
        <v>4219</v>
      </c>
      <c r="K107" s="196">
        <v>210</v>
      </c>
      <c r="L107" s="209">
        <f t="shared" ref="L107:L112" si="45">K107*$L$115</f>
        <v>2415000000</v>
      </c>
      <c r="M107" s="209">
        <f>N22+N33+N49+N46</f>
        <v>9630530385</v>
      </c>
      <c r="N107" s="181">
        <f t="shared" ref="N107:N110" si="46">L107-M107</f>
        <v>-7215530385</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861</v>
      </c>
      <c r="AM107" s="115">
        <f t="shared" si="11"/>
        <v>3444000000</v>
      </c>
      <c r="AN107" s="97"/>
    </row>
    <row r="108" spans="4:47">
      <c r="F108" s="207">
        <v>0</v>
      </c>
      <c r="G108" s="207">
        <f>P48</f>
        <v>22200</v>
      </c>
      <c r="H108" s="207" t="s">
        <v>4860</v>
      </c>
      <c r="I108" s="207" t="s">
        <v>5295</v>
      </c>
      <c r="J108" s="32" t="s">
        <v>5275</v>
      </c>
      <c r="K108" s="207">
        <v>33</v>
      </c>
      <c r="L108" s="1">
        <f t="shared" si="45"/>
        <v>379500000</v>
      </c>
      <c r="M108" s="1">
        <f>N52+N30+N23</f>
        <v>1331472880</v>
      </c>
      <c r="N108" s="111">
        <f t="shared" si="46"/>
        <v>-951972880</v>
      </c>
      <c r="P108" s="94"/>
      <c r="Q108" s="111">
        <f>SUM(N30:N33)-SUM(Q84:Q107)</f>
        <v>479700551.7462979</v>
      </c>
      <c r="R108" s="166"/>
      <c r="S108" s="166"/>
      <c r="T108" s="166"/>
      <c r="U108" s="166"/>
      <c r="V108" s="166"/>
      <c r="W108" s="32"/>
      <c r="X108" s="32"/>
      <c r="Z108" t="s">
        <v>25</v>
      </c>
      <c r="AA108" t="s">
        <v>25</v>
      </c>
      <c r="AH108" s="97">
        <v>88</v>
      </c>
      <c r="AI108" s="111" t="s">
        <v>979</v>
      </c>
      <c r="AJ108" s="111">
        <v>-5000000</v>
      </c>
      <c r="AK108" s="97">
        <v>2</v>
      </c>
      <c r="AL108" s="97">
        <f t="shared" si="42"/>
        <v>860</v>
      </c>
      <c r="AM108" s="115">
        <f t="shared" si="11"/>
        <v>-4300000000</v>
      </c>
      <c r="AN108" s="97"/>
    </row>
    <row r="109" spans="4:47">
      <c r="F109" s="196">
        <v>0</v>
      </c>
      <c r="G109" s="196">
        <f>P47</f>
        <v>18300</v>
      </c>
      <c r="H109" s="196" t="s">
        <v>4974</v>
      </c>
      <c r="I109" s="196" t="s">
        <v>5296</v>
      </c>
      <c r="J109" s="208" t="s">
        <v>4361</v>
      </c>
      <c r="K109" s="196">
        <v>0</v>
      </c>
      <c r="L109" s="209">
        <f t="shared" si="45"/>
        <v>0</v>
      </c>
      <c r="M109" s="209">
        <f>N48</f>
        <v>19158600</v>
      </c>
      <c r="N109" s="181">
        <f t="shared" si="46"/>
        <v>-19158600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858</v>
      </c>
      <c r="AM109" s="115">
        <f t="shared" si="11"/>
        <v>8580000000</v>
      </c>
      <c r="AN109" s="97"/>
    </row>
    <row r="110" spans="4:47">
      <c r="F110" s="187"/>
      <c r="G110" s="187"/>
      <c r="H110" s="187"/>
      <c r="I110" s="187"/>
      <c r="J110" s="264" t="s">
        <v>5297</v>
      </c>
      <c r="K110" s="187">
        <v>0</v>
      </c>
      <c r="L110" s="265">
        <f t="shared" si="45"/>
        <v>0</v>
      </c>
      <c r="M110" s="265">
        <f>N20+N28+N44</f>
        <v>2255</v>
      </c>
      <c r="N110" s="186">
        <f t="shared" si="46"/>
        <v>-2255</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854</v>
      </c>
      <c r="AM110" s="115">
        <f t="shared" si="11"/>
        <v>-4476614198</v>
      </c>
      <c r="AN110" s="97"/>
    </row>
    <row r="111" spans="4:47">
      <c r="F111" s="196"/>
      <c r="G111" s="196"/>
      <c r="H111" s="196"/>
      <c r="I111" s="196"/>
      <c r="J111" s="208" t="s">
        <v>314</v>
      </c>
      <c r="K111" s="196">
        <v>1</v>
      </c>
      <c r="L111" s="209">
        <f t="shared" si="45"/>
        <v>11500000</v>
      </c>
      <c r="M111" s="209">
        <f>N53+N24+N45+N29+N21</f>
        <v>100184050</v>
      </c>
      <c r="N111" s="181">
        <f>L111-M111</f>
        <v>-88684050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854</v>
      </c>
      <c r="AM111" s="115">
        <f t="shared" si="11"/>
        <v>18702600000</v>
      </c>
      <c r="AN111" s="97"/>
      <c r="AP111" t="s">
        <v>25</v>
      </c>
      <c r="AU111"/>
    </row>
    <row r="112" spans="4:47">
      <c r="F112" s="189"/>
      <c r="G112" s="189"/>
      <c r="H112" s="189"/>
      <c r="I112" s="189"/>
      <c r="J112" s="239" t="s">
        <v>5403</v>
      </c>
      <c r="K112" s="189">
        <v>717</v>
      </c>
      <c r="L112" s="240">
        <f t="shared" si="45"/>
        <v>8245500000</v>
      </c>
      <c r="M112" s="240">
        <v>0</v>
      </c>
      <c r="N112" s="84">
        <f>L112-M112</f>
        <v>8245500000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852</v>
      </c>
      <c r="AM112" s="115">
        <f t="shared" si="11"/>
        <v>-12780000000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852</v>
      </c>
      <c r="AM113" s="115">
        <f t="shared" si="11"/>
        <v>2556000000</v>
      </c>
      <c r="AN113" s="97"/>
    </row>
    <row r="114" spans="6:46" ht="30">
      <c r="F114" s="196"/>
      <c r="G114" s="196"/>
      <c r="H114" s="196"/>
      <c r="I114" s="196"/>
      <c r="J114" s="208" t="s">
        <v>4993</v>
      </c>
      <c r="K114" s="196">
        <f>SUM(K107:K112)</f>
        <v>961</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851</v>
      </c>
      <c r="AM114" s="115">
        <f t="shared" si="11"/>
        <v>-1790279336</v>
      </c>
      <c r="AN114" s="97"/>
    </row>
    <row r="115" spans="6:46">
      <c r="F115" s="207"/>
      <c r="G115" s="207"/>
      <c r="H115" s="207" t="s">
        <v>25</v>
      </c>
      <c r="I115" s="207"/>
      <c r="J115" s="32"/>
      <c r="K115" s="207">
        <v>0</v>
      </c>
      <c r="L115" s="39">
        <f>10*P54</f>
        <v>11500000</v>
      </c>
      <c r="M115" s="1">
        <f>K115*L115</f>
        <v>0</v>
      </c>
      <c r="N115" s="111">
        <f>SUM(N107:N113)-M115</f>
        <v>-9848170</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851</v>
      </c>
      <c r="AM115" s="115">
        <f t="shared" si="11"/>
        <v>187220000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1045</v>
      </c>
      <c r="T116" s="5" t="s">
        <v>5575</v>
      </c>
      <c r="U116" s="166">
        <v>192</v>
      </c>
      <c r="V116" s="97">
        <f t="shared" ref="V116:V149" si="47">U116*(1+$R$112+$Q$15*S116/36500)</f>
        <v>348.83401643835617</v>
      </c>
      <c r="W116" s="32">
        <f t="shared" ref="W116" si="48">V116*(1+$W$19/100)</f>
        <v>355.81069676712332</v>
      </c>
      <c r="X116" s="32">
        <f t="shared" ref="X116" si="49">V116*(1+$X$19/100)</f>
        <v>362.78737709589041</v>
      </c>
      <c r="Y116" s="94">
        <v>200000</v>
      </c>
      <c r="AH116" s="97">
        <v>96</v>
      </c>
      <c r="AI116" s="111" t="s">
        <v>4542</v>
      </c>
      <c r="AJ116" s="111">
        <v>4000000</v>
      </c>
      <c r="AK116" s="97">
        <v>1</v>
      </c>
      <c r="AL116" s="97">
        <f t="shared" si="42"/>
        <v>848</v>
      </c>
      <c r="AM116" s="115">
        <f t="shared" si="11"/>
        <v>3392000000</v>
      </c>
      <c r="AN116" s="97"/>
    </row>
    <row r="117" spans="6:46">
      <c r="F117" s="207"/>
      <c r="G117" s="207"/>
      <c r="H117" s="207"/>
      <c r="I117" s="207"/>
      <c r="J117" s="32" t="s">
        <v>4601</v>
      </c>
      <c r="K117" s="207"/>
      <c r="L117" s="1"/>
      <c r="M117" s="1"/>
      <c r="N117" s="111"/>
      <c r="Q117" s="167">
        <v>433201621</v>
      </c>
      <c r="R117" s="207" t="s">
        <v>5580</v>
      </c>
      <c r="S117" s="207">
        <f>S116-695</f>
        <v>350</v>
      </c>
      <c r="T117" s="207" t="s">
        <v>5587</v>
      </c>
      <c r="U117" s="207">
        <v>1995.5</v>
      </c>
      <c r="V117" s="97">
        <f t="shared" si="47"/>
        <v>2561.6096821917808</v>
      </c>
      <c r="W117" s="32">
        <f t="shared" ref="W117:W118" si="50">V117*(1+$W$19/100)</f>
        <v>2612.8418758356165</v>
      </c>
      <c r="X117" s="32">
        <f t="shared" ref="X117:X118" si="51">V117*(1+$X$19/100)</f>
        <v>2664.0740694794522</v>
      </c>
      <c r="Y117">
        <v>216287</v>
      </c>
      <c r="Z117" t="s">
        <v>25</v>
      </c>
      <c r="AH117" s="97">
        <v>97</v>
      </c>
      <c r="AI117" s="111" t="s">
        <v>4546</v>
      </c>
      <c r="AJ117" s="111">
        <v>-9000000</v>
      </c>
      <c r="AK117" s="97">
        <v>0</v>
      </c>
      <c r="AL117" s="97">
        <f t="shared" si="42"/>
        <v>847</v>
      </c>
      <c r="AM117" s="115">
        <f t="shared" si="11"/>
        <v>-7623000000</v>
      </c>
      <c r="AN117" s="97"/>
      <c r="AP117" t="s">
        <v>25</v>
      </c>
    </row>
    <row r="118" spans="6:46">
      <c r="M118" t="s">
        <v>25</v>
      </c>
      <c r="Q118" s="167">
        <v>8201348.2384272004</v>
      </c>
      <c r="R118" s="207" t="s">
        <v>5583</v>
      </c>
      <c r="S118" s="207">
        <f>S117-5</f>
        <v>345</v>
      </c>
      <c r="T118" s="207" t="s">
        <v>5636</v>
      </c>
      <c r="U118" s="207">
        <v>1751</v>
      </c>
      <c r="V118" s="97">
        <f t="shared" si="47"/>
        <v>2241.0305424657536</v>
      </c>
      <c r="W118" s="32">
        <f t="shared" si="50"/>
        <v>2285.8511533150686</v>
      </c>
      <c r="X118" s="32">
        <f t="shared" si="51"/>
        <v>2330.6717641643836</v>
      </c>
      <c r="Y118">
        <v>4667</v>
      </c>
      <c r="AH118" s="97">
        <v>98</v>
      </c>
      <c r="AI118" s="111" t="s">
        <v>4546</v>
      </c>
      <c r="AJ118" s="111">
        <v>13900000</v>
      </c>
      <c r="AK118" s="97">
        <v>2</v>
      </c>
      <c r="AL118" s="97">
        <f t="shared" si="42"/>
        <v>847</v>
      </c>
      <c r="AM118" s="115">
        <f t="shared" si="11"/>
        <v>11773300000</v>
      </c>
      <c r="AN118" s="97"/>
    </row>
    <row r="119" spans="6:46">
      <c r="G119" s="94" t="s">
        <v>25</v>
      </c>
      <c r="H119" s="94"/>
      <c r="I119" s="94"/>
      <c r="J119" s="94"/>
      <c r="P119" s="112"/>
      <c r="Q119" s="167">
        <v>106896832</v>
      </c>
      <c r="R119" s="207" t="s">
        <v>5638</v>
      </c>
      <c r="S119" s="207">
        <f>S118-36</f>
        <v>309</v>
      </c>
      <c r="T119" s="207" t="s">
        <v>5639</v>
      </c>
      <c r="U119" s="207">
        <v>1715</v>
      </c>
      <c r="V119" s="97">
        <f t="shared" si="47"/>
        <v>2147.5934794520549</v>
      </c>
      <c r="W119" s="32">
        <f t="shared" ref="W119" si="52">V119*(1+$W$19/100)</f>
        <v>2190.545349041096</v>
      </c>
      <c r="X119" s="32">
        <f t="shared" ref="X119" si="53">V119*(1+$X$19/100)</f>
        <v>2233.497218630137</v>
      </c>
      <c r="Y119" s="94">
        <v>62100</v>
      </c>
      <c r="Z119" t="s">
        <v>25</v>
      </c>
      <c r="AH119" s="97">
        <v>99</v>
      </c>
      <c r="AI119" s="111" t="s">
        <v>4550</v>
      </c>
      <c r="AJ119" s="111">
        <v>-8127577</v>
      </c>
      <c r="AK119" s="97">
        <v>1</v>
      </c>
      <c r="AL119" s="97">
        <f t="shared" si="42"/>
        <v>845</v>
      </c>
      <c r="AM119" s="115">
        <f t="shared" si="11"/>
        <v>-6867802565</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308</v>
      </c>
      <c r="T120" s="207" t="s">
        <v>5641</v>
      </c>
      <c r="U120" s="207">
        <v>1631</v>
      </c>
      <c r="V120" s="97">
        <f t="shared" si="47"/>
        <v>2041.1540493150685</v>
      </c>
      <c r="W120" s="32">
        <f t="shared" ref="W120:W121" si="54">V120*(1+$W$19/100)</f>
        <v>2081.9771303013699</v>
      </c>
      <c r="X120" s="32">
        <f t="shared" ref="X120:X121" si="55">V120*(1+$X$19/100)</f>
        <v>2122.8002112876711</v>
      </c>
      <c r="Y120">
        <v>278514</v>
      </c>
      <c r="AA120" t="s">
        <v>25</v>
      </c>
      <c r="AH120" s="97">
        <v>100</v>
      </c>
      <c r="AI120" s="111" t="s">
        <v>3675</v>
      </c>
      <c r="AJ120" s="111">
        <v>15792549</v>
      </c>
      <c r="AK120" s="97">
        <v>3</v>
      </c>
      <c r="AL120" s="97">
        <f t="shared" si="42"/>
        <v>844</v>
      </c>
      <c r="AM120" s="115">
        <f t="shared" si="11"/>
        <v>13328911356</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307</v>
      </c>
      <c r="T121" s="207" t="s">
        <v>5662</v>
      </c>
      <c r="U121" s="207">
        <v>1567.4</v>
      </c>
      <c r="V121" s="97">
        <f t="shared" si="47"/>
        <v>1960.3579156164387</v>
      </c>
      <c r="W121" s="32">
        <f t="shared" si="54"/>
        <v>1999.5650739287676</v>
      </c>
      <c r="X121" s="32">
        <f t="shared" si="55"/>
        <v>2038.7722322410964</v>
      </c>
      <c r="Y121">
        <v>530747</v>
      </c>
      <c r="AH121" s="97">
        <v>101</v>
      </c>
      <c r="AI121" s="111" t="s">
        <v>4554</v>
      </c>
      <c r="AJ121" s="111">
        <v>8800000</v>
      </c>
      <c r="AK121" s="97">
        <v>0</v>
      </c>
      <c r="AL121" s="97">
        <f t="shared" ref="AL121:AL126" si="57">AL122+AK121</f>
        <v>841</v>
      </c>
      <c r="AM121" s="115">
        <f t="shared" ref="AM121:AM144" si="58">AJ121*AL121</f>
        <v>7400800000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294</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841</v>
      </c>
      <c r="AM122" s="77">
        <f t="shared" si="58"/>
        <v>10993225692</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293</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840</v>
      </c>
      <c r="AM123" s="88">
        <f t="shared" si="58"/>
        <v>14050711080</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292</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840</v>
      </c>
      <c r="AM124" s="115">
        <f t="shared" si="58"/>
        <v>10080000000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239</v>
      </c>
      <c r="T125" s="207" t="s">
        <v>5721</v>
      </c>
      <c r="U125" s="207">
        <v>1500</v>
      </c>
      <c r="V125" s="97">
        <f t="shared" si="47"/>
        <v>1797.813698630137</v>
      </c>
      <c r="W125" s="32">
        <f t="shared" ref="W125:W136" si="61">V125*(1+$W$19/100)</f>
        <v>1833.7699726027397</v>
      </c>
      <c r="X125" s="32">
        <f t="shared" ref="X125:X136" si="62">V125*(1+$X$19/100)</f>
        <v>1869.7262465753424</v>
      </c>
      <c r="Y125" s="94">
        <v>268413</v>
      </c>
      <c r="Z125" s="94"/>
      <c r="AA125" s="94"/>
      <c r="AH125" s="87">
        <v>105</v>
      </c>
      <c r="AI125" s="88" t="s">
        <v>4496</v>
      </c>
      <c r="AJ125" s="88">
        <v>88697667</v>
      </c>
      <c r="AK125" s="87">
        <v>1</v>
      </c>
      <c r="AL125" s="87">
        <f t="shared" si="57"/>
        <v>839</v>
      </c>
      <c r="AM125" s="88">
        <f t="shared" si="58"/>
        <v>74417342613</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238</v>
      </c>
      <c r="T126" s="207" t="s">
        <v>5723</v>
      </c>
      <c r="U126" s="207">
        <v>1440</v>
      </c>
      <c r="V126" s="97">
        <f t="shared" si="47"/>
        <v>1724.7964931506851</v>
      </c>
      <c r="W126" s="32">
        <f t="shared" si="61"/>
        <v>1759.2924230136989</v>
      </c>
      <c r="X126" s="32">
        <f t="shared" si="62"/>
        <v>1793.7883528767127</v>
      </c>
      <c r="Y126" s="94">
        <v>682</v>
      </c>
      <c r="Z126" s="94"/>
      <c r="AA126" s="94"/>
      <c r="AH126" s="97">
        <v>106</v>
      </c>
      <c r="AI126" s="111" t="s">
        <v>4499</v>
      </c>
      <c r="AJ126" s="111">
        <v>101000</v>
      </c>
      <c r="AK126" s="97">
        <v>0</v>
      </c>
      <c r="AL126" s="97">
        <f t="shared" si="57"/>
        <v>838</v>
      </c>
      <c r="AM126" s="115">
        <f t="shared" si="58"/>
        <v>84638000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237</v>
      </c>
      <c r="T127" s="207" t="s">
        <v>5725</v>
      </c>
      <c r="U127" s="207">
        <v>1362</v>
      </c>
      <c r="V127" s="97">
        <f t="shared" si="47"/>
        <v>1630.3251945205479</v>
      </c>
      <c r="W127" s="32">
        <f t="shared" si="61"/>
        <v>1662.9316984109589</v>
      </c>
      <c r="X127" s="32">
        <f t="shared" si="62"/>
        <v>1695.5382023013699</v>
      </c>
      <c r="Y127" s="94">
        <v>99554</v>
      </c>
      <c r="Z127" s="94"/>
      <c r="AA127" s="94"/>
      <c r="AH127" s="147">
        <v>107</v>
      </c>
      <c r="AI127" s="186" t="s">
        <v>4564</v>
      </c>
      <c r="AJ127" s="186">
        <v>-48200</v>
      </c>
      <c r="AK127" s="147">
        <v>0</v>
      </c>
      <c r="AL127" s="147">
        <f t="shared" ref="AL127:AL177" si="63">AL128+AK127</f>
        <v>838</v>
      </c>
      <c r="AM127" s="186">
        <f t="shared" si="58"/>
        <v>-40391600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236</v>
      </c>
      <c r="T128" s="207" t="s">
        <v>5732</v>
      </c>
      <c r="U128" s="207">
        <v>1330</v>
      </c>
      <c r="V128" s="97">
        <f t="shared" si="47"/>
        <v>1591.0006575342468</v>
      </c>
      <c r="W128" s="32">
        <f t="shared" si="61"/>
        <v>1622.8206706849317</v>
      </c>
      <c r="X128" s="32">
        <f t="shared" si="62"/>
        <v>1654.6406838356168</v>
      </c>
      <c r="Y128" s="94">
        <v>11986</v>
      </c>
      <c r="Z128" s="94"/>
      <c r="AA128" s="94"/>
      <c r="AH128" s="87">
        <v>108</v>
      </c>
      <c r="AI128" s="88" t="s">
        <v>4564</v>
      </c>
      <c r="AJ128" s="88">
        <v>39327293</v>
      </c>
      <c r="AK128" s="87">
        <v>4</v>
      </c>
      <c r="AL128" s="147">
        <f t="shared" si="63"/>
        <v>838</v>
      </c>
      <c r="AM128" s="186">
        <f t="shared" si="58"/>
        <v>32956271534</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232</v>
      </c>
      <c r="T129" s="207" t="s">
        <v>5737</v>
      </c>
      <c r="U129" s="207">
        <v>1390</v>
      </c>
      <c r="V129" s="97">
        <f t="shared" si="47"/>
        <v>1658.5099178082196</v>
      </c>
      <c r="W129" s="32">
        <f t="shared" si="61"/>
        <v>1691.6801161643841</v>
      </c>
      <c r="X129" s="32">
        <f t="shared" si="62"/>
        <v>1724.8503145205484</v>
      </c>
      <c r="Y129" s="94">
        <v>74000</v>
      </c>
      <c r="Z129" s="94"/>
      <c r="AH129" s="87">
        <v>109</v>
      </c>
      <c r="AI129" s="88" t="s">
        <v>4585</v>
      </c>
      <c r="AJ129" s="88">
        <v>8749050</v>
      </c>
      <c r="AK129" s="87">
        <v>1</v>
      </c>
      <c r="AL129" s="87">
        <f t="shared" si="63"/>
        <v>834</v>
      </c>
      <c r="AM129" s="88">
        <f t="shared" si="58"/>
        <v>7296707700</v>
      </c>
      <c r="AN129" s="87" t="s">
        <v>4586</v>
      </c>
    </row>
    <row r="130" spans="7:43">
      <c r="K130" s="226" t="s">
        <v>5361</v>
      </c>
      <c r="Q130" s="167"/>
      <c r="R130" s="207" t="s">
        <v>5738</v>
      </c>
      <c r="S130" s="207">
        <f>S129-1</f>
        <v>231</v>
      </c>
      <c r="T130" s="207" t="s">
        <v>5739</v>
      </c>
      <c r="U130" s="207">
        <v>1350</v>
      </c>
      <c r="V130" s="97">
        <f t="shared" si="47"/>
        <v>1609.7473972602741</v>
      </c>
      <c r="W130" s="32">
        <f t="shared" si="61"/>
        <v>1641.9423452054796</v>
      </c>
      <c r="X130" s="32">
        <f t="shared" si="62"/>
        <v>1674.1372931506851</v>
      </c>
      <c r="Y130" s="94">
        <v>78520</v>
      </c>
      <c r="Z130" s="94"/>
      <c r="AA130" s="94"/>
      <c r="AB130" s="94"/>
      <c r="AH130" s="97">
        <v>110</v>
      </c>
      <c r="AI130" s="111" t="s">
        <v>4587</v>
      </c>
      <c r="AJ130" s="111">
        <v>60000</v>
      </c>
      <c r="AK130" s="97">
        <v>1</v>
      </c>
      <c r="AL130" s="97">
        <f t="shared" si="63"/>
        <v>833</v>
      </c>
      <c r="AM130" s="115">
        <f t="shared" si="58"/>
        <v>49980000</v>
      </c>
      <c r="AN130" s="97" t="s">
        <v>4588</v>
      </c>
    </row>
    <row r="131" spans="7:43">
      <c r="K131" s="226" t="s">
        <v>4513</v>
      </c>
      <c r="Q131" s="167"/>
      <c r="R131" s="207" t="s">
        <v>5740</v>
      </c>
      <c r="S131" s="207">
        <f>S130-2</f>
        <v>229</v>
      </c>
      <c r="T131" s="207" t="s">
        <v>5741</v>
      </c>
      <c r="U131" s="207">
        <v>1228</v>
      </c>
      <c r="V131" s="97">
        <f t="shared" si="47"/>
        <v>1462.3898739726028</v>
      </c>
      <c r="W131" s="32">
        <f t="shared" si="61"/>
        <v>1491.637671452055</v>
      </c>
      <c r="X131" s="32">
        <f t="shared" si="62"/>
        <v>1520.8854689315069</v>
      </c>
      <c r="Y131" s="94">
        <v>377107</v>
      </c>
      <c r="Z131" s="94"/>
      <c r="AA131" s="94"/>
      <c r="AB131" s="94"/>
      <c r="AH131" s="20">
        <v>111</v>
      </c>
      <c r="AI131" s="115" t="s">
        <v>4596</v>
      </c>
      <c r="AJ131" s="115">
        <v>4750000</v>
      </c>
      <c r="AK131" s="20">
        <v>0</v>
      </c>
      <c r="AL131" s="97">
        <f t="shared" si="63"/>
        <v>832</v>
      </c>
      <c r="AM131" s="115">
        <f t="shared" si="58"/>
        <v>3952000000</v>
      </c>
      <c r="AN131" s="20"/>
      <c r="AQ131" t="s">
        <v>25</v>
      </c>
    </row>
    <row r="132" spans="7:43">
      <c r="K132" s="226" t="s">
        <v>4514</v>
      </c>
      <c r="P132" t="s">
        <v>25</v>
      </c>
      <c r="Q132" s="167"/>
      <c r="R132" s="207" t="s">
        <v>5745</v>
      </c>
      <c r="S132" s="207">
        <f>S131-4</f>
        <v>225</v>
      </c>
      <c r="T132" s="207" t="s">
        <v>5746</v>
      </c>
      <c r="U132" s="207">
        <v>1325</v>
      </c>
      <c r="V132" s="97">
        <f t="shared" si="47"/>
        <v>1573.8386301369865</v>
      </c>
      <c r="W132" s="32">
        <f t="shared" si="61"/>
        <v>1605.3154027397263</v>
      </c>
      <c r="X132" s="32">
        <f t="shared" si="62"/>
        <v>1636.792175342466</v>
      </c>
      <c r="Y132" s="94">
        <v>7170</v>
      </c>
      <c r="Z132" s="94"/>
      <c r="AA132" s="94"/>
      <c r="AB132" s="94"/>
      <c r="AC132" t="s">
        <v>25</v>
      </c>
      <c r="AH132" s="87">
        <v>112</v>
      </c>
      <c r="AI132" s="88" t="s">
        <v>4596</v>
      </c>
      <c r="AJ132" s="88">
        <v>13101160</v>
      </c>
      <c r="AK132" s="87">
        <v>1</v>
      </c>
      <c r="AL132" s="87">
        <f t="shared" si="63"/>
        <v>832</v>
      </c>
      <c r="AM132" s="88">
        <f t="shared" si="58"/>
        <v>10900165120</v>
      </c>
      <c r="AN132" s="87" t="s">
        <v>4599</v>
      </c>
    </row>
    <row r="133" spans="7:43">
      <c r="Q133" s="167"/>
      <c r="R133" s="207" t="s">
        <v>5747</v>
      </c>
      <c r="S133" s="207">
        <f>S132-1</f>
        <v>224</v>
      </c>
      <c r="T133" s="207" t="s">
        <v>6529</v>
      </c>
      <c r="U133" s="207">
        <v>1285</v>
      </c>
      <c r="V133" s="97">
        <f t="shared" si="47"/>
        <v>1525.3407671232876</v>
      </c>
      <c r="W133" s="32">
        <f t="shared" si="61"/>
        <v>1555.8475824657535</v>
      </c>
      <c r="X133" s="32">
        <f t="shared" si="62"/>
        <v>1586.3543978082191</v>
      </c>
      <c r="Y133" s="94">
        <v>89917</v>
      </c>
      <c r="Z133" s="94"/>
      <c r="AA133" s="94"/>
      <c r="AH133" s="20">
        <v>113</v>
      </c>
      <c r="AI133" s="115" t="s">
        <v>4598</v>
      </c>
      <c r="AJ133" s="115">
        <v>-980000</v>
      </c>
      <c r="AK133" s="20">
        <v>0</v>
      </c>
      <c r="AL133" s="97">
        <f t="shared" si="63"/>
        <v>831</v>
      </c>
      <c r="AM133" s="115">
        <f t="shared" si="58"/>
        <v>-814380000</v>
      </c>
      <c r="AN133" s="20"/>
    </row>
    <row r="134" spans="7:43">
      <c r="Q134" s="167"/>
      <c r="R134" s="207" t="s">
        <v>5787</v>
      </c>
      <c r="S134" s="207">
        <f>S133-56</f>
        <v>168</v>
      </c>
      <c r="T134" s="207" t="s">
        <v>5791</v>
      </c>
      <c r="U134" s="207">
        <v>1354.1</v>
      </c>
      <c r="V134" s="97">
        <f t="shared" si="47"/>
        <v>1549.1942761643836</v>
      </c>
      <c r="W134" s="32">
        <f t="shared" si="61"/>
        <v>1580.1781616876713</v>
      </c>
      <c r="X134" s="32">
        <f t="shared" si="62"/>
        <v>1611.1620472109589</v>
      </c>
      <c r="Y134" s="94"/>
      <c r="Z134" s="94">
        <v>22000</v>
      </c>
      <c r="AA134" s="94"/>
      <c r="AH134" s="87">
        <v>114</v>
      </c>
      <c r="AI134" s="88" t="s">
        <v>4598</v>
      </c>
      <c r="AJ134" s="88">
        <v>13301790</v>
      </c>
      <c r="AK134" s="87">
        <v>0</v>
      </c>
      <c r="AL134" s="87">
        <f t="shared" si="63"/>
        <v>831</v>
      </c>
      <c r="AM134" s="88">
        <f t="shared" si="58"/>
        <v>11053787490</v>
      </c>
      <c r="AN134" s="87" t="s">
        <v>4599</v>
      </c>
      <c r="AQ134" t="s">
        <v>25</v>
      </c>
    </row>
    <row r="135" spans="7:43">
      <c r="Q135" s="167"/>
      <c r="R135" s="207" t="s">
        <v>5792</v>
      </c>
      <c r="S135" s="207">
        <f>S134-8</f>
        <v>160</v>
      </c>
      <c r="T135" s="207" t="s">
        <v>5808</v>
      </c>
      <c r="U135" s="207">
        <v>1266</v>
      </c>
      <c r="V135" s="97">
        <f t="shared" si="47"/>
        <v>1440.6316931506851</v>
      </c>
      <c r="W135" s="32">
        <f t="shared" si="61"/>
        <v>1469.4443270136987</v>
      </c>
      <c r="X135" s="32">
        <f t="shared" si="62"/>
        <v>1498.2569608767126</v>
      </c>
      <c r="Y135" s="94"/>
      <c r="Z135" s="94">
        <v>62174</v>
      </c>
      <c r="AA135" s="94"/>
      <c r="AH135" s="20">
        <v>115</v>
      </c>
      <c r="AI135" s="115" t="s">
        <v>4598</v>
      </c>
      <c r="AJ135" s="115">
        <v>404000</v>
      </c>
      <c r="AK135" s="20">
        <v>5</v>
      </c>
      <c r="AL135" s="97">
        <f t="shared" si="63"/>
        <v>831</v>
      </c>
      <c r="AM135" s="115">
        <f t="shared" si="58"/>
        <v>335724000</v>
      </c>
      <c r="AN135" s="20" t="s">
        <v>4605</v>
      </c>
    </row>
    <row r="136" spans="7:43">
      <c r="G136" s="32" t="s">
        <v>4219</v>
      </c>
      <c r="H136" s="32"/>
      <c r="I136" s="32" t="s">
        <v>4361</v>
      </c>
      <c r="K136" s="94"/>
      <c r="L136" s="94"/>
      <c r="M136" s="94"/>
      <c r="Q136" s="167"/>
      <c r="R136" s="207" t="s">
        <v>5809</v>
      </c>
      <c r="S136" s="207">
        <f>S135-13</f>
        <v>147</v>
      </c>
      <c r="T136" s="207" t="s">
        <v>6516</v>
      </c>
      <c r="U136" s="207">
        <v>1275</v>
      </c>
      <c r="V136" s="97">
        <f t="shared" si="47"/>
        <v>1438.158082191781</v>
      </c>
      <c r="W136" s="32">
        <f t="shared" si="61"/>
        <v>1466.9212438356167</v>
      </c>
      <c r="X136" s="32">
        <f t="shared" si="62"/>
        <v>1495.6844054794524</v>
      </c>
      <c r="Y136" s="94"/>
      <c r="Z136" s="94">
        <v>6826</v>
      </c>
      <c r="AA136" s="94"/>
      <c r="AH136" s="87">
        <v>116</v>
      </c>
      <c r="AI136" s="88" t="s">
        <v>4614</v>
      </c>
      <c r="AJ136" s="88">
        <v>4291628</v>
      </c>
      <c r="AK136" s="87">
        <v>2</v>
      </c>
      <c r="AL136" s="87">
        <f t="shared" si="63"/>
        <v>826</v>
      </c>
      <c r="AM136" s="88">
        <f t="shared" si="58"/>
        <v>3544884728</v>
      </c>
      <c r="AN136" s="87" t="s">
        <v>4615</v>
      </c>
    </row>
    <row r="137" spans="7:43">
      <c r="G137" s="32">
        <f>O22+O33+O49+O46</f>
        <v>6711171</v>
      </c>
      <c r="H137" s="32" t="s">
        <v>5448</v>
      </c>
      <c r="I137" s="32">
        <f>O48</f>
        <v>863</v>
      </c>
      <c r="J137" s="112"/>
      <c r="K137" s="94"/>
      <c r="L137" s="94"/>
      <c r="M137" s="94"/>
      <c r="Q137" s="167"/>
      <c r="R137" s="207" t="s">
        <v>6517</v>
      </c>
      <c r="S137" s="207">
        <f>S136-116</f>
        <v>31</v>
      </c>
      <c r="T137" s="207" t="s">
        <v>6519</v>
      </c>
      <c r="U137" s="207">
        <v>1310</v>
      </c>
      <c r="V137" s="97">
        <f t="shared" si="47"/>
        <v>1361.0648767123289</v>
      </c>
      <c r="W137" s="32">
        <f t="shared" ref="W137:W155" si="64">V137*(1+$W$19/100)</f>
        <v>1388.2861742465755</v>
      </c>
      <c r="X137" s="32">
        <f t="shared" ref="X137:X155" si="65">V137*(1+$X$19/100)</f>
        <v>1415.507471780822</v>
      </c>
      <c r="Y137" s="94"/>
      <c r="Z137" s="94">
        <v>22240</v>
      </c>
      <c r="AA137" s="94"/>
      <c r="AC137" t="s">
        <v>25</v>
      </c>
      <c r="AH137" s="20">
        <v>117</v>
      </c>
      <c r="AI137" s="115" t="s">
        <v>4617</v>
      </c>
      <c r="AJ137" s="115">
        <v>1000</v>
      </c>
      <c r="AK137" s="20">
        <v>5</v>
      </c>
      <c r="AL137" s="20">
        <f t="shared" si="63"/>
        <v>824</v>
      </c>
      <c r="AM137" s="115">
        <f t="shared" si="58"/>
        <v>824000</v>
      </c>
      <c r="AN137" s="20"/>
    </row>
    <row r="138" spans="7:43">
      <c r="G138" s="32">
        <f>(N32+N23+N25+N30+N47+N48+N24+N31+N50+N52)/P49</f>
        <v>951688.6271777004</v>
      </c>
      <c r="H138" s="279" t="s">
        <v>5449</v>
      </c>
      <c r="I138" s="32">
        <f>(N32+N49+N47+N33+N25+N22+N23+N24+N30+N31+N46+N50+N52)/P48</f>
        <v>494461.48490990989</v>
      </c>
      <c r="J138" s="112"/>
      <c r="K138" s="94"/>
      <c r="L138" s="94" t="s">
        <v>25</v>
      </c>
      <c r="M138" s="94"/>
      <c r="Q138" s="167"/>
      <c r="R138" s="207" t="s">
        <v>6528</v>
      </c>
      <c r="S138" s="207">
        <f>S137-1-4</f>
        <v>26</v>
      </c>
      <c r="T138" s="207" t="s">
        <v>6673</v>
      </c>
      <c r="U138" s="207">
        <v>1388</v>
      </c>
      <c r="V138" s="97">
        <f t="shared" si="47"/>
        <v>1436.7815452054795</v>
      </c>
      <c r="W138" s="32">
        <f t="shared" si="64"/>
        <v>1465.5171761095892</v>
      </c>
      <c r="X138" s="32">
        <f t="shared" si="65"/>
        <v>1494.2528070136987</v>
      </c>
      <c r="Y138" s="94"/>
      <c r="Z138" s="94">
        <v>469256</v>
      </c>
      <c r="AA138" s="94"/>
      <c r="AH138" s="119">
        <v>118</v>
      </c>
      <c r="AI138" s="77" t="s">
        <v>4625</v>
      </c>
      <c r="AJ138" s="77">
        <v>8739459</v>
      </c>
      <c r="AK138" s="119">
        <v>2</v>
      </c>
      <c r="AL138" s="119">
        <f t="shared" si="63"/>
        <v>819</v>
      </c>
      <c r="AM138" s="77">
        <f t="shared" si="58"/>
        <v>7157616921</v>
      </c>
      <c r="AN138" s="119" t="s">
        <v>4586</v>
      </c>
    </row>
    <row r="139" spans="7:43">
      <c r="G139" s="32">
        <f>G137+G138</f>
        <v>7662859.6271777004</v>
      </c>
      <c r="H139" s="32" t="s">
        <v>5450</v>
      </c>
      <c r="I139" s="32">
        <f>I137+I138</f>
        <v>495324.48490990989</v>
      </c>
      <c r="J139" s="112"/>
      <c r="K139" s="94"/>
      <c r="L139" s="94"/>
      <c r="N139" s="94"/>
      <c r="P139" t="s">
        <v>25</v>
      </c>
      <c r="Q139" s="167"/>
      <c r="R139" s="207" t="s">
        <v>6531</v>
      </c>
      <c r="S139" s="207">
        <f>S138-3</f>
        <v>23</v>
      </c>
      <c r="T139" s="207" t="s">
        <v>6639</v>
      </c>
      <c r="U139" s="207">
        <v>1253</v>
      </c>
      <c r="V139" s="97">
        <f t="shared" si="47"/>
        <v>1294.1533260273973</v>
      </c>
      <c r="W139" s="32">
        <f t="shared" si="64"/>
        <v>1320.0363925479453</v>
      </c>
      <c r="X139" s="32">
        <f t="shared" si="65"/>
        <v>1345.9194590684931</v>
      </c>
      <c r="Y139" s="94">
        <v>26081</v>
      </c>
      <c r="Z139" s="94"/>
      <c r="AA139" s="94"/>
      <c r="AH139" s="119">
        <v>119</v>
      </c>
      <c r="AI139" s="77" t="s">
        <v>4626</v>
      </c>
      <c r="AJ139" s="77">
        <v>17595278</v>
      </c>
      <c r="AK139" s="119">
        <v>1</v>
      </c>
      <c r="AL139" s="119">
        <f t="shared" si="63"/>
        <v>817</v>
      </c>
      <c r="AM139" s="77">
        <f t="shared" si="58"/>
        <v>14375342126</v>
      </c>
      <c r="AN139" s="119" t="s">
        <v>4628</v>
      </c>
      <c r="AQ139" t="s">
        <v>25</v>
      </c>
    </row>
    <row r="140" spans="7:43">
      <c r="G140" s="32">
        <f>(W166+W167)/P49</f>
        <v>383478.05407350505</v>
      </c>
      <c r="H140" s="32" t="s">
        <v>5430</v>
      </c>
      <c r="I140" s="32">
        <f>(W166+W167)/P48</f>
        <v>24787.883225021611</v>
      </c>
      <c r="J140" s="112"/>
      <c r="K140" s="94"/>
      <c r="L140" s="94"/>
      <c r="M140" s="94"/>
      <c r="N140" s="94"/>
      <c r="O140" s="94"/>
      <c r="Q140" s="167"/>
      <c r="R140" s="207" t="s">
        <v>6643</v>
      </c>
      <c r="S140" s="207">
        <f>S139-4</f>
        <v>19</v>
      </c>
      <c r="T140" s="207" t="s">
        <v>6651</v>
      </c>
      <c r="U140" s="207">
        <v>1300</v>
      </c>
      <c r="V140" s="97">
        <f t="shared" si="47"/>
        <v>1338.7079452054795</v>
      </c>
      <c r="W140" s="32">
        <f t="shared" si="64"/>
        <v>1365.482104109589</v>
      </c>
      <c r="X140" s="32">
        <f t="shared" si="65"/>
        <v>1392.2562630136988</v>
      </c>
      <c r="Y140" s="94">
        <v>61167</v>
      </c>
      <c r="Z140" s="94"/>
      <c r="AA140" s="94"/>
      <c r="AH140" s="119">
        <v>120</v>
      </c>
      <c r="AI140" s="77" t="s">
        <v>4627</v>
      </c>
      <c r="AJ140" s="77">
        <v>13335309</v>
      </c>
      <c r="AK140" s="119">
        <v>13</v>
      </c>
      <c r="AL140" s="119">
        <f t="shared" si="63"/>
        <v>816</v>
      </c>
      <c r="AM140" s="77">
        <f t="shared" si="58"/>
        <v>10881612144</v>
      </c>
      <c r="AN140" s="119" t="s">
        <v>4599</v>
      </c>
    </row>
    <row r="141" spans="7:43">
      <c r="G141" s="32">
        <f>W164/P49</f>
        <v>2679871.8037871476</v>
      </c>
      <c r="H141" s="32" t="s">
        <v>481</v>
      </c>
      <c r="I141" s="32">
        <f>W164/P48</f>
        <v>173225.9476772323</v>
      </c>
      <c r="J141" s="112"/>
      <c r="K141" s="94"/>
      <c r="L141" s="94"/>
      <c r="N141" s="94"/>
      <c r="Q141" s="167"/>
      <c r="R141" s="207" t="s">
        <v>6652</v>
      </c>
      <c r="S141" s="207">
        <f>S140-4</f>
        <v>15</v>
      </c>
      <c r="T141" s="207" t="s">
        <v>6653</v>
      </c>
      <c r="U141" s="207">
        <v>1279</v>
      </c>
      <c r="V141" s="97">
        <f t="shared" si="47"/>
        <v>1313.1580602739728</v>
      </c>
      <c r="W141" s="32">
        <f t="shared" si="64"/>
        <v>1339.4212214794522</v>
      </c>
      <c r="X141" s="32">
        <f t="shared" si="65"/>
        <v>1365.6843826849317</v>
      </c>
      <c r="Y141" s="365">
        <v>3505</v>
      </c>
      <c r="Z141" s="365"/>
      <c r="AA141" s="365"/>
      <c r="AH141" s="159">
        <v>121</v>
      </c>
      <c r="AI141" s="217" t="s">
        <v>4677</v>
      </c>
      <c r="AJ141" s="217">
        <v>50000000</v>
      </c>
      <c r="AK141" s="159">
        <v>11</v>
      </c>
      <c r="AL141" s="159">
        <f t="shared" si="63"/>
        <v>803</v>
      </c>
      <c r="AM141" s="217">
        <f t="shared" si="58"/>
        <v>40150000000</v>
      </c>
      <c r="AN141" s="159" t="s">
        <v>4678</v>
      </c>
      <c r="AP141" t="s">
        <v>25</v>
      </c>
    </row>
    <row r="142" spans="7:43">
      <c r="G142" s="32">
        <f>G139-G140-G141</f>
        <v>4599509.7693170477</v>
      </c>
      <c r="H142" s="32" t="s">
        <v>5</v>
      </c>
      <c r="I142" s="32">
        <f>I139-I140-I141</f>
        <v>297310.65400765603</v>
      </c>
      <c r="J142" s="112"/>
      <c r="K142" s="94"/>
      <c r="L142" s="94"/>
      <c r="M142" t="s">
        <v>25</v>
      </c>
      <c r="N142" s="94"/>
      <c r="Q142" s="167"/>
      <c r="R142" s="207" t="s">
        <v>6657</v>
      </c>
      <c r="S142" s="207">
        <f>S141-1</f>
        <v>14</v>
      </c>
      <c r="T142" s="207" t="s">
        <v>6659</v>
      </c>
      <c r="U142" s="207">
        <v>1290</v>
      </c>
      <c r="V142" s="97">
        <f t="shared" si="47"/>
        <v>1323.4622465753428</v>
      </c>
      <c r="W142" s="32">
        <f t="shared" si="64"/>
        <v>1349.9314915068496</v>
      </c>
      <c r="X142" s="32">
        <f t="shared" si="65"/>
        <v>1376.4007364383565</v>
      </c>
      <c r="Y142" s="365">
        <v>8429</v>
      </c>
      <c r="Z142" s="365"/>
      <c r="AA142" s="365"/>
      <c r="AH142" s="20">
        <v>122</v>
      </c>
      <c r="AI142" s="115" t="s">
        <v>959</v>
      </c>
      <c r="AJ142" s="115">
        <v>30000</v>
      </c>
      <c r="AK142" s="20">
        <v>3</v>
      </c>
      <c r="AL142" s="20">
        <f t="shared" si="63"/>
        <v>792</v>
      </c>
      <c r="AM142" s="115">
        <f t="shared" si="58"/>
        <v>23760000</v>
      </c>
      <c r="AN142" s="20"/>
    </row>
    <row r="143" spans="7:43">
      <c r="N143" s="94"/>
      <c r="P143" t="s">
        <v>25</v>
      </c>
      <c r="Q143" s="167"/>
      <c r="R143" s="207" t="s">
        <v>6660</v>
      </c>
      <c r="S143" s="207">
        <f>S142-7</f>
        <v>7</v>
      </c>
      <c r="T143" s="207" t="s">
        <v>6661</v>
      </c>
      <c r="U143" s="207">
        <v>1299</v>
      </c>
      <c r="V143" s="97">
        <f t="shared" si="47"/>
        <v>1325.7202520547946</v>
      </c>
      <c r="W143" s="32">
        <f t="shared" si="64"/>
        <v>1352.2346570958905</v>
      </c>
      <c r="X143" s="32">
        <f t="shared" si="65"/>
        <v>1378.7490621369864</v>
      </c>
      <c r="Y143" s="94">
        <v>3815</v>
      </c>
      <c r="Z143" s="94"/>
      <c r="AA143" s="94"/>
      <c r="AH143" s="20">
        <v>123</v>
      </c>
      <c r="AI143" s="115" t="s">
        <v>4735</v>
      </c>
      <c r="AJ143" s="115">
        <v>600000</v>
      </c>
      <c r="AK143" s="20">
        <v>1</v>
      </c>
      <c r="AL143" s="20">
        <f t="shared" si="63"/>
        <v>789</v>
      </c>
      <c r="AM143" s="115">
        <f t="shared" si="58"/>
        <v>473400000</v>
      </c>
      <c r="AN143" s="20"/>
    </row>
    <row r="144" spans="7:43">
      <c r="N144" s="94"/>
      <c r="Q144" s="167"/>
      <c r="R144" s="207" t="s">
        <v>6662</v>
      </c>
      <c r="S144" s="207">
        <f>S143-1</f>
        <v>6</v>
      </c>
      <c r="T144" s="207" t="s">
        <v>6687</v>
      </c>
      <c r="U144" s="207">
        <v>1298</v>
      </c>
      <c r="V144" s="97">
        <f t="shared" si="47"/>
        <v>1323.7039561643835</v>
      </c>
      <c r="W144" s="32">
        <f t="shared" si="64"/>
        <v>1350.1780352876713</v>
      </c>
      <c r="X144" s="32">
        <f t="shared" si="65"/>
        <v>1376.6521144109588</v>
      </c>
      <c r="Y144" s="369">
        <v>79981</v>
      </c>
      <c r="Z144" s="369"/>
      <c r="AA144" s="369"/>
      <c r="AH144" s="20">
        <v>124</v>
      </c>
      <c r="AI144" s="115" t="s">
        <v>4738</v>
      </c>
      <c r="AJ144" s="115">
        <v>30000</v>
      </c>
      <c r="AK144" s="20">
        <v>3</v>
      </c>
      <c r="AL144" s="20">
        <f t="shared" si="63"/>
        <v>788</v>
      </c>
      <c r="AM144" s="115">
        <f t="shared" si="58"/>
        <v>23640000</v>
      </c>
      <c r="AN144" s="20"/>
    </row>
    <row r="145" spans="5:44">
      <c r="K145" s="94"/>
      <c r="L145" s="94"/>
      <c r="Q145" s="167"/>
      <c r="R145" s="207" t="s">
        <v>6674</v>
      </c>
      <c r="S145" s="207">
        <f>S144-5</f>
        <v>1</v>
      </c>
      <c r="T145" s="207" t="s">
        <v>6675</v>
      </c>
      <c r="U145" s="207">
        <v>1475</v>
      </c>
      <c r="V145" s="97">
        <f t="shared" si="47"/>
        <v>1498.551506849315</v>
      </c>
      <c r="W145" s="32">
        <f t="shared" si="64"/>
        <v>1528.5225369863015</v>
      </c>
      <c r="X145" s="32">
        <f t="shared" si="65"/>
        <v>1558.4935671232877</v>
      </c>
      <c r="Y145" s="371"/>
      <c r="Z145" s="371">
        <v>294</v>
      </c>
      <c r="AA145" s="371"/>
      <c r="AH145" s="20">
        <v>125</v>
      </c>
      <c r="AI145" s="115" t="s">
        <v>4744</v>
      </c>
      <c r="AJ145" s="115">
        <v>2250000</v>
      </c>
      <c r="AK145" s="20">
        <v>1</v>
      </c>
      <c r="AL145" s="20">
        <f t="shared" si="63"/>
        <v>785</v>
      </c>
      <c r="AM145" s="115">
        <f>AJ145*AL145</f>
        <v>1766250000</v>
      </c>
      <c r="AN145" s="20"/>
      <c r="AR145" t="s">
        <v>25</v>
      </c>
    </row>
    <row r="146" spans="5:44">
      <c r="Q146" s="167"/>
      <c r="R146" s="207" t="s">
        <v>6676</v>
      </c>
      <c r="S146" s="207">
        <f>S145-1</f>
        <v>0</v>
      </c>
      <c r="T146" s="207" t="s">
        <v>6677</v>
      </c>
      <c r="U146" s="207">
        <v>21750</v>
      </c>
      <c r="V146" s="97">
        <f t="shared" si="47"/>
        <v>22080.600000000002</v>
      </c>
      <c r="W146" s="32">
        <f t="shared" si="64"/>
        <v>22522.212000000003</v>
      </c>
      <c r="X146" s="32">
        <f t="shared" si="65"/>
        <v>22963.824000000004</v>
      </c>
      <c r="Y146" s="374"/>
      <c r="Z146" s="374"/>
      <c r="AA146" s="374">
        <v>863</v>
      </c>
      <c r="AB146" t="s">
        <v>25</v>
      </c>
      <c r="AH146" s="23">
        <v>126</v>
      </c>
      <c r="AI146" s="35" t="s">
        <v>4749</v>
      </c>
      <c r="AJ146" s="35">
        <v>-31412200</v>
      </c>
      <c r="AK146" s="23">
        <v>1</v>
      </c>
      <c r="AL146" s="20">
        <f t="shared" si="63"/>
        <v>784</v>
      </c>
      <c r="AM146" s="35">
        <f>AJ146*AL146</f>
        <v>-24627164800</v>
      </c>
      <c r="AN146" s="23" t="s">
        <v>4737</v>
      </c>
    </row>
    <row r="147" spans="5:44">
      <c r="G147" s="32" t="s">
        <v>180</v>
      </c>
      <c r="H147" s="32" t="s">
        <v>5451</v>
      </c>
      <c r="I147" s="207" t="s">
        <v>5452</v>
      </c>
      <c r="J147" s="207" t="s">
        <v>5453</v>
      </c>
      <c r="K147" s="32" t="s">
        <v>5454</v>
      </c>
      <c r="L147" s="97" t="s">
        <v>5468</v>
      </c>
      <c r="M147" s="97" t="s">
        <v>5469</v>
      </c>
      <c r="P147" s="112"/>
      <c r="Q147" s="167"/>
      <c r="R147" s="207" t="s">
        <v>6676</v>
      </c>
      <c r="S147" s="207">
        <f>S146</f>
        <v>0</v>
      </c>
      <c r="T147" s="207" t="s">
        <v>6686</v>
      </c>
      <c r="U147" s="207">
        <v>1487</v>
      </c>
      <c r="V147" s="97">
        <f t="shared" si="47"/>
        <v>1509.6024000000002</v>
      </c>
      <c r="W147" s="32">
        <f t="shared" si="64"/>
        <v>1539.7944480000003</v>
      </c>
      <c r="X147" s="32">
        <f t="shared" si="65"/>
        <v>1569.9864960000002</v>
      </c>
      <c r="Y147" s="374"/>
      <c r="Z147" s="374">
        <v>152421</v>
      </c>
      <c r="AA147" s="374"/>
      <c r="AH147" s="20">
        <v>127</v>
      </c>
      <c r="AI147" s="115" t="s">
        <v>4758</v>
      </c>
      <c r="AJ147" s="115">
        <v>70000</v>
      </c>
      <c r="AK147" s="20">
        <v>9</v>
      </c>
      <c r="AL147" s="20">
        <f t="shared" si="63"/>
        <v>783</v>
      </c>
      <c r="AM147" s="115">
        <f>AJ147*AL147</f>
        <v>54810000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207" t="s">
        <v>6683</v>
      </c>
      <c r="S148" s="207">
        <f>S147-1</f>
        <v>-1</v>
      </c>
      <c r="T148" s="207" t="s">
        <v>6684</v>
      </c>
      <c r="U148" s="207">
        <v>2690</v>
      </c>
      <c r="V148" s="97">
        <f t="shared" si="47"/>
        <v>2728.824438356165</v>
      </c>
      <c r="W148" s="32">
        <f t="shared" si="64"/>
        <v>2783.4009271232885</v>
      </c>
      <c r="X148" s="32">
        <f t="shared" si="65"/>
        <v>2837.9774158904115</v>
      </c>
      <c r="Y148" s="374"/>
      <c r="Z148" s="374"/>
      <c r="AA148" s="374"/>
      <c r="AH148" s="97">
        <v>128</v>
      </c>
      <c r="AI148" s="111" t="s">
        <v>4765</v>
      </c>
      <c r="AJ148" s="111">
        <v>20000</v>
      </c>
      <c r="AK148" s="97">
        <v>10</v>
      </c>
      <c r="AL148" s="20">
        <f t="shared" si="63"/>
        <v>774</v>
      </c>
      <c r="AM148" s="115">
        <f>AJ148*AL148</f>
        <v>15480000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67"/>
      <c r="R149" s="207" t="s">
        <v>6683</v>
      </c>
      <c r="S149" s="207">
        <f>S148</f>
        <v>-1</v>
      </c>
      <c r="T149" s="207" t="s">
        <v>6685</v>
      </c>
      <c r="U149" s="207">
        <v>1453</v>
      </c>
      <c r="V149" s="97">
        <f t="shared" si="47"/>
        <v>1473.970969863014</v>
      </c>
      <c r="W149" s="32">
        <f t="shared" si="64"/>
        <v>1503.4503892602743</v>
      </c>
      <c r="X149" s="32">
        <f t="shared" si="65"/>
        <v>1532.9298086575347</v>
      </c>
      <c r="Y149" s="374"/>
      <c r="Z149" s="374"/>
      <c r="AA149" s="374"/>
      <c r="AH149" s="97">
        <v>129</v>
      </c>
      <c r="AI149" s="111" t="s">
        <v>4785</v>
      </c>
      <c r="AJ149" s="111">
        <v>1000000</v>
      </c>
      <c r="AK149" s="97">
        <v>1</v>
      </c>
      <c r="AL149" s="20">
        <f t="shared" si="63"/>
        <v>764</v>
      </c>
      <c r="AM149" s="115">
        <f>AJ149*AL149</f>
        <v>764000000</v>
      </c>
      <c r="AN149" s="20"/>
    </row>
    <row r="150" spans="5:44">
      <c r="E150" s="121"/>
      <c r="G150" s="32" t="s">
        <v>5456</v>
      </c>
      <c r="H150" s="32"/>
      <c r="I150" s="207"/>
      <c r="J150" s="207"/>
      <c r="K150" s="32"/>
      <c r="L150" s="97">
        <f t="shared" si="66"/>
        <v>0</v>
      </c>
      <c r="M150" s="97">
        <f t="shared" si="67"/>
        <v>0</v>
      </c>
      <c r="O150" s="94"/>
      <c r="Q150" s="167"/>
      <c r="R150" s="207"/>
      <c r="S150" s="207"/>
      <c r="T150" s="207"/>
      <c r="U150" s="207"/>
      <c r="V150" s="97"/>
      <c r="W150" s="32"/>
      <c r="X150" s="32"/>
      <c r="Y150" s="374"/>
      <c r="Z150" s="374"/>
      <c r="AA150" s="374"/>
      <c r="AC150" s="112" t="s">
        <v>25</v>
      </c>
      <c r="AD150" s="112"/>
      <c r="AH150" s="97">
        <v>130</v>
      </c>
      <c r="AI150" s="111" t="s">
        <v>4786</v>
      </c>
      <c r="AJ150" s="111">
        <v>65630227</v>
      </c>
      <c r="AK150" s="97">
        <v>0</v>
      </c>
      <c r="AL150" s="20">
        <f t="shared" si="63"/>
        <v>763</v>
      </c>
      <c r="AM150" s="115">
        <f t="shared" ref="AM150:AM177" si="68">AJ150*AL150</f>
        <v>50075863201</v>
      </c>
      <c r="AN150" s="20" t="s">
        <v>4789</v>
      </c>
      <c r="AP150" t="s">
        <v>25</v>
      </c>
      <c r="AR150" t="s">
        <v>25</v>
      </c>
    </row>
    <row r="151" spans="5:44">
      <c r="G151" s="32" t="s">
        <v>5457</v>
      </c>
      <c r="H151" s="32"/>
      <c r="I151" s="207"/>
      <c r="J151" s="207"/>
      <c r="K151" s="32"/>
      <c r="L151" s="97">
        <f t="shared" si="66"/>
        <v>0</v>
      </c>
      <c r="M151" s="97">
        <f t="shared" si="67"/>
        <v>0</v>
      </c>
      <c r="N151" s="94"/>
      <c r="O151" s="94"/>
      <c r="Q151" s="167"/>
      <c r="R151" s="207"/>
      <c r="S151" s="207"/>
      <c r="T151" s="207"/>
      <c r="U151" s="207"/>
      <c r="V151" s="97"/>
      <c r="W151" s="32"/>
      <c r="X151" s="32"/>
      <c r="Y151" s="371"/>
      <c r="Z151" s="371"/>
      <c r="AA151" s="371"/>
      <c r="AB151" s="94"/>
      <c r="AC151" s="112"/>
      <c r="AH151" s="97">
        <v>131</v>
      </c>
      <c r="AI151" s="111" t="s">
        <v>4786</v>
      </c>
      <c r="AJ151" s="111">
        <v>-3500000</v>
      </c>
      <c r="AK151" s="97">
        <v>6</v>
      </c>
      <c r="AL151" s="20">
        <f t="shared" si="63"/>
        <v>763</v>
      </c>
      <c r="AM151" s="115">
        <f t="shared" si="68"/>
        <v>-2670500000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Q152" s="167"/>
      <c r="R152" s="207"/>
      <c r="S152" s="207"/>
      <c r="T152" s="207"/>
      <c r="U152" s="207"/>
      <c r="V152" s="97"/>
      <c r="W152" s="32"/>
      <c r="X152" s="32"/>
      <c r="Y152" s="369"/>
      <c r="Z152" s="369"/>
      <c r="AA152" s="369"/>
      <c r="AB152" s="94"/>
      <c r="AC152" s="112"/>
      <c r="AD152" s="112"/>
      <c r="AH152" s="97">
        <v>132</v>
      </c>
      <c r="AI152" s="111" t="s">
        <v>4798</v>
      </c>
      <c r="AJ152" s="111">
        <v>2520000</v>
      </c>
      <c r="AK152" s="97">
        <v>12</v>
      </c>
      <c r="AL152" s="20">
        <f t="shared" si="63"/>
        <v>757</v>
      </c>
      <c r="AM152" s="115">
        <f t="shared" si="68"/>
        <v>1907640000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Q153" s="167"/>
      <c r="R153" s="207"/>
      <c r="S153" s="207"/>
      <c r="T153" s="207"/>
      <c r="U153" s="207"/>
      <c r="V153" s="97">
        <f>U153*(1+$R$112+$Q$15*S153/36500)</f>
        <v>0</v>
      </c>
      <c r="W153" s="32">
        <f t="shared" si="64"/>
        <v>0</v>
      </c>
      <c r="X153" s="32">
        <f t="shared" si="65"/>
        <v>0</v>
      </c>
      <c r="Y153" s="94"/>
      <c r="Z153" s="94"/>
      <c r="AA153" s="94"/>
      <c r="AB153" t="s">
        <v>25</v>
      </c>
      <c r="AH153" s="97">
        <v>133</v>
      </c>
      <c r="AI153" s="111" t="s">
        <v>4833</v>
      </c>
      <c r="AJ153" s="111">
        <v>1400000</v>
      </c>
      <c r="AK153" s="97">
        <v>4</v>
      </c>
      <c r="AL153" s="20">
        <f t="shared" si="63"/>
        <v>745</v>
      </c>
      <c r="AM153" s="115">
        <f t="shared" si="68"/>
        <v>1043000000</v>
      </c>
      <c r="AN153" s="20"/>
    </row>
    <row r="154" spans="5:44">
      <c r="G154" s="32" t="s">
        <v>5476</v>
      </c>
      <c r="H154" s="32">
        <v>3271778</v>
      </c>
      <c r="I154" s="207">
        <v>282233</v>
      </c>
      <c r="J154" s="207">
        <v>2458563</v>
      </c>
      <c r="K154" s="32">
        <v>212082</v>
      </c>
      <c r="L154" s="97">
        <f t="shared" si="66"/>
        <v>5730341</v>
      </c>
      <c r="M154" s="97">
        <f t="shared" si="67"/>
        <v>494315</v>
      </c>
      <c r="N154" s="94"/>
      <c r="Q154" s="167"/>
      <c r="R154" s="207"/>
      <c r="S154" s="207"/>
      <c r="T154" s="207" t="s">
        <v>25</v>
      </c>
      <c r="U154" s="207"/>
      <c r="V154" s="97">
        <f>U154*(1+$R$112+$Q$15*S154/36500)</f>
        <v>0</v>
      </c>
      <c r="W154" s="32">
        <f>V154*(1+$W$19/100)</f>
        <v>0</v>
      </c>
      <c r="X154" s="32">
        <f t="shared" si="65"/>
        <v>0</v>
      </c>
      <c r="Y154" s="94"/>
      <c r="Z154" s="94" t="s">
        <v>25</v>
      </c>
      <c r="AA154" s="94"/>
      <c r="AH154" s="97">
        <v>134</v>
      </c>
      <c r="AI154" s="111" t="s">
        <v>4851</v>
      </c>
      <c r="AJ154" s="111">
        <v>1550000</v>
      </c>
      <c r="AK154" s="97">
        <v>2</v>
      </c>
      <c r="AL154" s="20">
        <f t="shared" si="63"/>
        <v>741</v>
      </c>
      <c r="AM154" s="115">
        <f t="shared" si="68"/>
        <v>1148550000</v>
      </c>
      <c r="AN154" s="20"/>
    </row>
    <row r="155" spans="5:44">
      <c r="G155" s="32" t="s">
        <v>5482</v>
      </c>
      <c r="H155" s="32">
        <v>3298939</v>
      </c>
      <c r="I155" s="207">
        <v>281309</v>
      </c>
      <c r="J155" s="207">
        <v>2465538</v>
      </c>
      <c r="K155" s="32">
        <v>210242</v>
      </c>
      <c r="L155" s="97">
        <f t="shared" si="66"/>
        <v>5764477</v>
      </c>
      <c r="M155" s="97">
        <f t="shared" si="67"/>
        <v>491551</v>
      </c>
      <c r="N155" s="94"/>
      <c r="P155" s="112"/>
      <c r="Q155" s="167"/>
      <c r="R155" s="166"/>
      <c r="S155" s="166"/>
      <c r="T155" s="166" t="s">
        <v>25</v>
      </c>
      <c r="U155" s="166"/>
      <c r="V155" s="97">
        <f>U155*(1+$R$112+$Q$15*S155/36500)</f>
        <v>0</v>
      </c>
      <c r="W155" s="32">
        <f t="shared" si="64"/>
        <v>0</v>
      </c>
      <c r="X155" s="32">
        <f t="shared" si="65"/>
        <v>0</v>
      </c>
      <c r="Z155" t="s">
        <v>25</v>
      </c>
      <c r="AA155" s="94" t="s">
        <v>25</v>
      </c>
      <c r="AH155" s="97">
        <v>135</v>
      </c>
      <c r="AI155" s="111" t="s">
        <v>4805</v>
      </c>
      <c r="AJ155" s="111">
        <v>250000</v>
      </c>
      <c r="AK155" s="97">
        <v>6</v>
      </c>
      <c r="AL155" s="20">
        <f t="shared" si="63"/>
        <v>739</v>
      </c>
      <c r="AM155" s="115">
        <f t="shared" si="68"/>
        <v>184750000</v>
      </c>
      <c r="AN155" s="20"/>
    </row>
    <row r="156" spans="5:44">
      <c r="G156" s="32" t="s">
        <v>5486</v>
      </c>
      <c r="H156" s="32">
        <v>3453903</v>
      </c>
      <c r="I156" s="207">
        <v>259725</v>
      </c>
      <c r="J156" s="207">
        <v>2541096</v>
      </c>
      <c r="K156" s="32">
        <v>191084</v>
      </c>
      <c r="L156" s="97">
        <f t="shared" si="66"/>
        <v>5994999</v>
      </c>
      <c r="M156" s="97">
        <f t="shared" si="67"/>
        <v>450809</v>
      </c>
      <c r="N156" s="94"/>
      <c r="P156" s="94"/>
      <c r="Q156" s="111">
        <f>SUM(N46:N54)-SUM(Q116:Q155)</f>
        <v>4817318091.3686695</v>
      </c>
      <c r="R156" s="110"/>
      <c r="S156" s="110"/>
      <c r="T156" s="110"/>
      <c r="U156" s="166"/>
      <c r="V156" s="97" t="s">
        <v>25</v>
      </c>
      <c r="W156" s="32"/>
      <c r="X156" s="32"/>
      <c r="Y156" t="s">
        <v>25</v>
      </c>
      <c r="Z156" t="s">
        <v>25</v>
      </c>
      <c r="AA156" s="94" t="s">
        <v>25</v>
      </c>
      <c r="AH156" s="97">
        <v>136</v>
      </c>
      <c r="AI156" s="111" t="s">
        <v>4860</v>
      </c>
      <c r="AJ156" s="111">
        <v>-48527480</v>
      </c>
      <c r="AK156" s="97">
        <v>14</v>
      </c>
      <c r="AL156" s="20">
        <f t="shared" si="63"/>
        <v>733</v>
      </c>
      <c r="AM156" s="115">
        <f t="shared" si="68"/>
        <v>-35570642840</v>
      </c>
      <c r="AN156" s="20" t="s">
        <v>4862</v>
      </c>
    </row>
    <row r="157" spans="5:44">
      <c r="G157" s="32" t="s">
        <v>6507</v>
      </c>
      <c r="H157" s="32">
        <v>4796613</v>
      </c>
      <c r="I157" s="207">
        <v>250296</v>
      </c>
      <c r="J157" s="207">
        <v>2687591</v>
      </c>
      <c r="K157" s="32">
        <v>140243</v>
      </c>
      <c r="L157" s="97">
        <f t="shared" si="66"/>
        <v>7484204</v>
      </c>
      <c r="M157" s="97">
        <f t="shared" si="67"/>
        <v>390539</v>
      </c>
      <c r="N157" s="94"/>
      <c r="Q157" s="26"/>
      <c r="R157" s="179"/>
      <c r="S157" s="179"/>
      <c r="T157" t="s">
        <v>25</v>
      </c>
      <c r="U157" s="94" t="s">
        <v>25</v>
      </c>
      <c r="V157" s="94" t="s">
        <v>25</v>
      </c>
      <c r="W157" s="94" t="s">
        <v>25</v>
      </c>
      <c r="Y157" t="s">
        <v>25</v>
      </c>
      <c r="Z157" t="s">
        <v>25</v>
      </c>
      <c r="AA157" s="94" t="s">
        <v>25</v>
      </c>
      <c r="AH157" s="97">
        <v>137</v>
      </c>
      <c r="AI157" s="111" t="s">
        <v>4882</v>
      </c>
      <c r="AJ157" s="111">
        <v>2100000</v>
      </c>
      <c r="AK157" s="97">
        <v>1</v>
      </c>
      <c r="AL157" s="20">
        <f t="shared" si="63"/>
        <v>719</v>
      </c>
      <c r="AM157" s="115">
        <f t="shared" si="68"/>
        <v>1509900000</v>
      </c>
      <c r="AN157" s="20"/>
    </row>
    <row r="158" spans="5:44">
      <c r="G158" s="32"/>
      <c r="H158" s="32"/>
      <c r="I158" s="207"/>
      <c r="J158" s="207"/>
      <c r="K158" s="32"/>
      <c r="L158" s="97"/>
      <c r="M158" s="97"/>
      <c r="R158" s="32" t="s">
        <v>4516</v>
      </c>
      <c r="S158" s="32" t="s">
        <v>935</v>
      </c>
      <c r="T158" t="s">
        <v>25</v>
      </c>
      <c r="U158" s="94" t="s">
        <v>25</v>
      </c>
      <c r="V158" s="94" t="s">
        <v>25</v>
      </c>
      <c r="W158" s="94" t="s">
        <v>25</v>
      </c>
      <c r="X158" s="120" t="s">
        <v>25</v>
      </c>
      <c r="Y158" t="s">
        <v>25</v>
      </c>
      <c r="Z158" t="s">
        <v>25</v>
      </c>
      <c r="AH158" s="97">
        <v>138</v>
      </c>
      <c r="AI158" s="111" t="s">
        <v>4885</v>
      </c>
      <c r="AJ158" s="111">
        <v>100000</v>
      </c>
      <c r="AK158" s="97">
        <v>4</v>
      </c>
      <c r="AL158" s="20">
        <f>AL159+AK158</f>
        <v>718</v>
      </c>
      <c r="AM158" s="115">
        <f t="shared" si="68"/>
        <v>71800000</v>
      </c>
      <c r="AN158" s="20"/>
    </row>
    <row r="159" spans="5:44">
      <c r="G159" s="32"/>
      <c r="H159" s="32"/>
      <c r="I159" s="207"/>
      <c r="J159" s="207"/>
      <c r="K159" s="32"/>
      <c r="L159" s="97">
        <f>H159+J159</f>
        <v>0</v>
      </c>
      <c r="M159" s="97">
        <f>I159+K159</f>
        <v>0</v>
      </c>
      <c r="R159" s="32">
        <v>33288</v>
      </c>
      <c r="S159" s="167">
        <v>152128600.70081395</v>
      </c>
      <c r="T159" t="s">
        <v>25</v>
      </c>
      <c r="U159" s="94" t="s">
        <v>25</v>
      </c>
      <c r="V159" s="120" t="s">
        <v>25</v>
      </c>
      <c r="W159" s="94" t="s">
        <v>25</v>
      </c>
      <c r="X159" t="s">
        <v>25</v>
      </c>
      <c r="Y159" t="s">
        <v>25</v>
      </c>
      <c r="Z159" t="s">
        <v>25</v>
      </c>
      <c r="AA159" t="s">
        <v>25</v>
      </c>
      <c r="AH159" s="97">
        <v>139</v>
      </c>
      <c r="AI159" s="111" t="s">
        <v>4890</v>
      </c>
      <c r="AJ159" s="111">
        <v>900000</v>
      </c>
      <c r="AK159" s="97">
        <v>0</v>
      </c>
      <c r="AL159" s="20">
        <f t="shared" ref="AL159:AL168" si="69">AL160+AK159</f>
        <v>714</v>
      </c>
      <c r="AM159" s="115">
        <f t="shared" ref="AM159:AM168" si="70">AJ159*AL159</f>
        <v>642600000</v>
      </c>
      <c r="AN159" s="20"/>
      <c r="AP159" t="s">
        <v>25</v>
      </c>
    </row>
    <row r="160" spans="5:44">
      <c r="N160" s="112"/>
      <c r="O160" s="94" t="s">
        <v>25</v>
      </c>
      <c r="P160" s="112"/>
      <c r="Q160" t="s">
        <v>25</v>
      </c>
      <c r="R160" s="32">
        <v>9243</v>
      </c>
      <c r="S160" s="1">
        <f>S159*R160/R159</f>
        <v>42241187.7036056</v>
      </c>
      <c r="T160" s="112" t="s">
        <v>25</v>
      </c>
      <c r="U160" s="94" t="s">
        <v>25</v>
      </c>
      <c r="V160" s="120" t="s">
        <v>25</v>
      </c>
      <c r="W160" s="94" t="s">
        <v>25</v>
      </c>
      <c r="X160" t="s">
        <v>25</v>
      </c>
      <c r="Y160" t="s">
        <v>25</v>
      </c>
      <c r="Z160" t="s">
        <v>25</v>
      </c>
      <c r="AA160" t="s">
        <v>25</v>
      </c>
      <c r="AH160" s="97">
        <v>140</v>
      </c>
      <c r="AI160" s="111" t="s">
        <v>4890</v>
      </c>
      <c r="AJ160" s="111">
        <v>1100000</v>
      </c>
      <c r="AK160" s="97">
        <v>0</v>
      </c>
      <c r="AL160" s="20">
        <f t="shared" si="69"/>
        <v>714</v>
      </c>
      <c r="AM160" s="115">
        <f t="shared" si="70"/>
        <v>785400000</v>
      </c>
      <c r="AN160" s="20" t="s">
        <v>4904</v>
      </c>
      <c r="AQ160" t="s">
        <v>25</v>
      </c>
    </row>
    <row r="161" spans="7:43">
      <c r="O161" s="94"/>
      <c r="P161" s="112"/>
      <c r="R161" s="32">
        <f>R159-R160</f>
        <v>24045</v>
      </c>
      <c r="S161" s="1">
        <f>R161*S159/R159</f>
        <v>109887412.99720834</v>
      </c>
      <c r="T161" t="s">
        <v>25</v>
      </c>
      <c r="U161" s="120" t="s">
        <v>25</v>
      </c>
      <c r="V161" s="94"/>
      <c r="W161" s="120" t="s">
        <v>25</v>
      </c>
      <c r="X161" t="s">
        <v>25</v>
      </c>
      <c r="Y161" t="s">
        <v>25</v>
      </c>
      <c r="Z161" t="s">
        <v>25</v>
      </c>
      <c r="AA161" t="s">
        <v>25</v>
      </c>
      <c r="AH161" s="97">
        <v>141</v>
      </c>
      <c r="AI161" s="111" t="s">
        <v>4890</v>
      </c>
      <c r="AJ161" s="111">
        <v>115000</v>
      </c>
      <c r="AK161" s="97"/>
      <c r="AL161" s="20">
        <f t="shared" si="69"/>
        <v>714</v>
      </c>
      <c r="AM161" s="115">
        <f t="shared" si="70"/>
        <v>82110000</v>
      </c>
      <c r="AN161" s="20"/>
      <c r="AQ161" t="s">
        <v>25</v>
      </c>
    </row>
    <row r="162" spans="7:43">
      <c r="K162" t="s">
        <v>25</v>
      </c>
      <c r="M162" t="s">
        <v>25</v>
      </c>
      <c r="N162" s="112"/>
      <c r="O162" s="94"/>
      <c r="P162" s="112"/>
      <c r="T162" t="s">
        <v>25</v>
      </c>
      <c r="V162" s="94"/>
      <c r="W162"/>
      <c r="X162" t="s">
        <v>25</v>
      </c>
      <c r="Y162" t="s">
        <v>25</v>
      </c>
      <c r="Z162" t="s">
        <v>25</v>
      </c>
      <c r="AA162" t="s">
        <v>25</v>
      </c>
      <c r="AH162" s="97">
        <v>142</v>
      </c>
      <c r="AI162" s="111" t="s">
        <v>4898</v>
      </c>
      <c r="AJ162" s="111">
        <v>-1100000</v>
      </c>
      <c r="AK162" s="97"/>
      <c r="AL162" s="20">
        <f t="shared" si="69"/>
        <v>714</v>
      </c>
      <c r="AM162" s="115">
        <f t="shared" si="70"/>
        <v>-785400000</v>
      </c>
      <c r="AN162" s="20" t="s">
        <v>4905</v>
      </c>
      <c r="AQ162" t="s">
        <v>25</v>
      </c>
    </row>
    <row r="163" spans="7:43">
      <c r="G163" s="207" t="s">
        <v>180</v>
      </c>
      <c r="H163" s="207" t="s">
        <v>5467</v>
      </c>
      <c r="I163" t="s">
        <v>5460</v>
      </c>
      <c r="O163" s="94"/>
      <c r="P163" s="112"/>
      <c r="Q163" s="94" t="s">
        <v>25</v>
      </c>
      <c r="R163" s="94"/>
      <c r="S163" s="94"/>
      <c r="T163" s="94"/>
      <c r="U163" s="284" t="s">
        <v>4408</v>
      </c>
      <c r="V163" s="284" t="s">
        <v>4421</v>
      </c>
      <c r="W163" s="284" t="s">
        <v>4422</v>
      </c>
      <c r="X163" t="s">
        <v>25</v>
      </c>
      <c r="Y163" t="s">
        <v>25</v>
      </c>
      <c r="AA163" t="s">
        <v>25</v>
      </c>
      <c r="AH163" s="97">
        <v>143</v>
      </c>
      <c r="AI163" s="111" t="s">
        <v>4898</v>
      </c>
      <c r="AJ163" s="111">
        <v>900000</v>
      </c>
      <c r="AK163" s="97">
        <v>1</v>
      </c>
      <c r="AL163" s="20">
        <f t="shared" si="69"/>
        <v>714</v>
      </c>
      <c r="AM163" s="115">
        <f t="shared" si="70"/>
        <v>642600000</v>
      </c>
      <c r="AN163" s="20" t="s">
        <v>4904</v>
      </c>
    </row>
    <row r="164" spans="7:43">
      <c r="G164" s="207" t="s">
        <v>5434</v>
      </c>
      <c r="H164" s="1">
        <v>30000000</v>
      </c>
      <c r="I164" s="306" t="s">
        <v>5461</v>
      </c>
      <c r="M164" t="s">
        <v>25</v>
      </c>
      <c r="O164" s="94"/>
      <c r="P164" s="112"/>
      <c r="Q164" s="94"/>
      <c r="R164" s="94"/>
      <c r="S164" s="94"/>
      <c r="T164" s="120">
        <f>V165-V170</f>
        <v>2601505</v>
      </c>
      <c r="U164" s="284" t="s">
        <v>744</v>
      </c>
      <c r="V164" s="284">
        <v>1493085</v>
      </c>
      <c r="W164" s="88">
        <f>V164*$T$523</f>
        <v>3845616038.434557</v>
      </c>
      <c r="X164">
        <f>W164*100/$W$170</f>
        <v>34.656463282952409</v>
      </c>
      <c r="Y164" t="s">
        <v>25</v>
      </c>
      <c r="Z164" t="s">
        <v>25</v>
      </c>
      <c r="AA164" t="s">
        <v>25</v>
      </c>
      <c r="AH164" s="97">
        <v>144</v>
      </c>
      <c r="AI164" s="111" t="s">
        <v>4902</v>
      </c>
      <c r="AJ164" s="111">
        <v>2000000</v>
      </c>
      <c r="AK164" s="97">
        <v>0</v>
      </c>
      <c r="AL164" s="20">
        <f t="shared" si="69"/>
        <v>713</v>
      </c>
      <c r="AM164" s="115">
        <f t="shared" si="70"/>
        <v>1426000000</v>
      </c>
      <c r="AN164" s="20"/>
    </row>
    <row r="165" spans="7:43">
      <c r="G165" s="207" t="s">
        <v>5435</v>
      </c>
      <c r="H165" s="1">
        <v>550000</v>
      </c>
      <c r="I165" t="s">
        <v>5462</v>
      </c>
      <c r="O165" s="94"/>
      <c r="P165" s="112"/>
      <c r="T165" s="120"/>
      <c r="U165" s="284" t="s">
        <v>4410</v>
      </c>
      <c r="V165" s="284">
        <v>2601505</v>
      </c>
      <c r="W165" s="88">
        <f>V165*$T$523</f>
        <v>6700482123.9699631</v>
      </c>
      <c r="X165" s="94">
        <f>W165*100/$W$170</f>
        <v>60.384346847578747</v>
      </c>
      <c r="Y165" t="s">
        <v>25</v>
      </c>
      <c r="Z165" t="s">
        <v>25</v>
      </c>
      <c r="AA165" t="s">
        <v>25</v>
      </c>
      <c r="AH165" s="97">
        <v>145</v>
      </c>
      <c r="AI165" s="111" t="s">
        <v>4902</v>
      </c>
      <c r="AJ165" s="111">
        <v>360000</v>
      </c>
      <c r="AK165" s="97">
        <v>1</v>
      </c>
      <c r="AL165" s="20">
        <f t="shared" si="69"/>
        <v>713</v>
      </c>
      <c r="AM165" s="115">
        <f t="shared" si="70"/>
        <v>256680000</v>
      </c>
      <c r="AN165" s="20"/>
    </row>
    <row r="166" spans="7:43">
      <c r="G166" s="207" t="s">
        <v>5436</v>
      </c>
      <c r="H166" s="1">
        <v>70370000</v>
      </c>
      <c r="I166" t="s">
        <v>4084</v>
      </c>
      <c r="O166" s="94"/>
      <c r="P166" s="112"/>
      <c r="Q166" t="s">
        <v>25</v>
      </c>
      <c r="S166" t="s">
        <v>25</v>
      </c>
      <c r="T166" s="94">
        <f>V164-V170</f>
        <v>1493085</v>
      </c>
      <c r="U166" s="284" t="s">
        <v>4409</v>
      </c>
      <c r="V166" s="284">
        <v>48626</v>
      </c>
      <c r="W166" s="88">
        <f>V166*$T$523</f>
        <v>125241982.52940641</v>
      </c>
      <c r="X166" s="94">
        <f>W166*100/$W$170</f>
        <v>1.128673306340124</v>
      </c>
      <c r="Y166" t="s">
        <v>25</v>
      </c>
      <c r="AH166" s="97">
        <v>146</v>
      </c>
      <c r="AI166" s="111" t="s">
        <v>4903</v>
      </c>
      <c r="AJ166" s="111">
        <v>3000000</v>
      </c>
      <c r="AK166" s="97">
        <v>1</v>
      </c>
      <c r="AL166" s="20">
        <f t="shared" si="69"/>
        <v>712</v>
      </c>
      <c r="AM166" s="115">
        <f t="shared" si="70"/>
        <v>2136000000</v>
      </c>
      <c r="AN166" s="20"/>
    </row>
    <row r="167" spans="7:43">
      <c r="G167" s="207" t="s">
        <v>5437</v>
      </c>
      <c r="H167" s="1">
        <v>1215000</v>
      </c>
      <c r="I167" t="s">
        <v>5463</v>
      </c>
      <c r="P167" s="112"/>
      <c r="Q167" t="s">
        <v>25</v>
      </c>
      <c r="T167" s="94"/>
      <c r="U167" s="284" t="s">
        <v>1071</v>
      </c>
      <c r="V167" s="284">
        <v>165028</v>
      </c>
      <c r="W167" s="88">
        <f>V167*$T$523</f>
        <v>425049025.0660733</v>
      </c>
      <c r="X167" s="94">
        <f>W167*100/$W$170</f>
        <v>3.8305165631287368</v>
      </c>
      <c r="Z167" t="s">
        <v>25</v>
      </c>
      <c r="AH167" s="97">
        <v>147</v>
      </c>
      <c r="AI167" s="111" t="s">
        <v>4901</v>
      </c>
      <c r="AJ167" s="111">
        <v>-658226</v>
      </c>
      <c r="AK167" s="97">
        <v>1</v>
      </c>
      <c r="AL167" s="20">
        <f t="shared" si="69"/>
        <v>711</v>
      </c>
      <c r="AM167" s="115">
        <f t="shared" si="70"/>
        <v>-467998686</v>
      </c>
      <c r="AN167" s="20"/>
    </row>
    <row r="168" spans="7:43">
      <c r="G168" s="207" t="s">
        <v>5438</v>
      </c>
      <c r="H168" s="1">
        <v>15350000</v>
      </c>
      <c r="I168" s="306" t="s">
        <v>5464</v>
      </c>
      <c r="P168" s="112"/>
      <c r="T168" s="94"/>
      <c r="U168" s="284"/>
      <c r="V168" s="284"/>
      <c r="W168" s="284"/>
      <c r="X168" s="113"/>
      <c r="Y168" t="s">
        <v>25</v>
      </c>
      <c r="AH168" s="97">
        <v>148</v>
      </c>
      <c r="AI168" s="111" t="s">
        <v>4906</v>
      </c>
      <c r="AJ168" s="111">
        <v>1000000</v>
      </c>
      <c r="AK168" s="97">
        <v>15</v>
      </c>
      <c r="AL168" s="20">
        <f t="shared" si="69"/>
        <v>710</v>
      </c>
      <c r="AM168" s="115">
        <f t="shared" si="70"/>
        <v>710000000</v>
      </c>
      <c r="AN168" s="20"/>
      <c r="AP168" t="s">
        <v>25</v>
      </c>
    </row>
    <row r="169" spans="7:43">
      <c r="G169" s="207" t="s">
        <v>5439</v>
      </c>
      <c r="H169" s="1">
        <v>70000</v>
      </c>
      <c r="I169" t="s">
        <v>5465</v>
      </c>
      <c r="K169" t="s">
        <v>25</v>
      </c>
      <c r="M169" t="s">
        <v>25</v>
      </c>
      <c r="O169" s="112"/>
      <c r="P169" s="112"/>
      <c r="Q169" t="s">
        <v>25</v>
      </c>
      <c r="S169" t="s">
        <v>25</v>
      </c>
      <c r="T169" s="94" t="s">
        <v>25</v>
      </c>
      <c r="U169" s="87"/>
      <c r="V169" s="87">
        <f>SUM(V164:V167)</f>
        <v>4308244</v>
      </c>
      <c r="W169" s="87"/>
      <c r="X169" s="112" t="s">
        <v>25</v>
      </c>
      <c r="Y169" t="s">
        <v>25</v>
      </c>
      <c r="Z169" t="s">
        <v>25</v>
      </c>
      <c r="AH169" s="97">
        <v>149</v>
      </c>
      <c r="AI169" s="111" t="s">
        <v>4931</v>
      </c>
      <c r="AJ169" s="111">
        <v>1130250</v>
      </c>
      <c r="AK169" s="97">
        <v>5</v>
      </c>
      <c r="AL169" s="20">
        <f t="shared" si="63"/>
        <v>695</v>
      </c>
      <c r="AM169" s="115">
        <f t="shared" si="68"/>
        <v>785523750</v>
      </c>
      <c r="AN169" s="20"/>
    </row>
    <row r="170" spans="7:43">
      <c r="G170" s="207" t="s">
        <v>5443</v>
      </c>
      <c r="H170" s="1">
        <v>800000</v>
      </c>
      <c r="I170" t="s">
        <v>5466</v>
      </c>
      <c r="O170" s="112"/>
      <c r="P170" s="112"/>
      <c r="Q170" s="94" t="s">
        <v>25</v>
      </c>
      <c r="R170" s="94"/>
      <c r="S170" s="94" t="s">
        <v>25</v>
      </c>
      <c r="T170" s="94" t="s">
        <v>25</v>
      </c>
      <c r="U170" s="87"/>
      <c r="V170" s="87">
        <f>V169-U520</f>
        <v>0</v>
      </c>
      <c r="W170" s="140">
        <f>SUM(W164:W167)</f>
        <v>11096389169.999998</v>
      </c>
      <c r="X170" s="94"/>
      <c r="Y170" t="s">
        <v>25</v>
      </c>
      <c r="Z170" t="s">
        <v>25</v>
      </c>
      <c r="AE170" s="94" t="s">
        <v>25</v>
      </c>
      <c r="AH170" s="97">
        <v>150</v>
      </c>
      <c r="AI170" s="111" t="s">
        <v>4939</v>
      </c>
      <c r="AJ170" s="111">
        <v>206000</v>
      </c>
      <c r="AK170" s="97">
        <v>2</v>
      </c>
      <c r="AL170" s="20">
        <f t="shared" si="63"/>
        <v>690</v>
      </c>
      <c r="AM170" s="115">
        <f t="shared" si="68"/>
        <v>142140000</v>
      </c>
      <c r="AN170" s="20"/>
    </row>
    <row r="171" spans="7:43">
      <c r="G171" s="207" t="s">
        <v>5455</v>
      </c>
      <c r="H171" s="1">
        <v>1948000</v>
      </c>
      <c r="O171" s="112"/>
      <c r="P171" s="112"/>
      <c r="Q171" s="94"/>
      <c r="R171" s="94"/>
      <c r="S171" s="94"/>
      <c r="T171" s="94" t="s">
        <v>25</v>
      </c>
      <c r="U171" s="87"/>
      <c r="V171" s="87" t="s">
        <v>5841</v>
      </c>
      <c r="W171" s="140">
        <f>R182-W167</f>
        <v>90250559.933926702</v>
      </c>
      <c r="X171" s="94"/>
      <c r="Y171" t="s">
        <v>25</v>
      </c>
      <c r="Z171" t="s">
        <v>25</v>
      </c>
      <c r="AA171" t="s">
        <v>25</v>
      </c>
      <c r="AH171" s="97">
        <v>151</v>
      </c>
      <c r="AI171" s="111" t="s">
        <v>4946</v>
      </c>
      <c r="AJ171" s="111">
        <v>50000</v>
      </c>
      <c r="AK171" s="97">
        <v>2</v>
      </c>
      <c r="AL171" s="20">
        <f t="shared" si="63"/>
        <v>688</v>
      </c>
      <c r="AM171" s="115">
        <f t="shared" si="68"/>
        <v>34400000</v>
      </c>
      <c r="AN171" s="20"/>
    </row>
    <row r="172" spans="7:43">
      <c r="G172" s="207" t="s">
        <v>5480</v>
      </c>
      <c r="H172" s="1">
        <v>5745697.3157000002</v>
      </c>
      <c r="P172" s="112"/>
      <c r="Q172" s="94" t="s">
        <v>25</v>
      </c>
      <c r="R172" s="94"/>
      <c r="S172" s="94"/>
      <c r="T172" s="94" t="s">
        <v>25</v>
      </c>
      <c r="U172" s="87"/>
      <c r="V172" s="87" t="s">
        <v>5840</v>
      </c>
      <c r="W172" s="140">
        <f>W166-W171</f>
        <v>34991422.595479712</v>
      </c>
      <c r="X172" s="94"/>
      <c r="Z172" t="s">
        <v>25</v>
      </c>
      <c r="AH172" s="97">
        <v>152</v>
      </c>
      <c r="AI172" s="111" t="s">
        <v>4950</v>
      </c>
      <c r="AJ172" s="111">
        <v>105000</v>
      </c>
      <c r="AK172" s="97">
        <v>4</v>
      </c>
      <c r="AL172" s="20">
        <f t="shared" si="63"/>
        <v>686</v>
      </c>
      <c r="AM172" s="115">
        <f t="shared" si="68"/>
        <v>72030000</v>
      </c>
      <c r="AN172" s="20"/>
    </row>
    <row r="173" spans="7:43">
      <c r="G173" s="207" t="s">
        <v>5481</v>
      </c>
      <c r="H173" s="1">
        <v>908158.17935999995</v>
      </c>
      <c r="O173" s="112"/>
      <c r="P173" s="112"/>
      <c r="Q173" s="94" t="s">
        <v>25</v>
      </c>
      <c r="R173" s="94"/>
      <c r="S173" s="94" t="s">
        <v>25</v>
      </c>
      <c r="T173" s="94"/>
      <c r="U173" s="87"/>
      <c r="V173" s="87" t="s">
        <v>4926</v>
      </c>
      <c r="W173" s="140">
        <f>W164+W172-R181</f>
        <v>5782741.0300364494</v>
      </c>
      <c r="X173" s="94"/>
      <c r="Y173" t="s">
        <v>25</v>
      </c>
      <c r="AH173" s="97">
        <v>153</v>
      </c>
      <c r="AI173" s="111" t="s">
        <v>4954</v>
      </c>
      <c r="AJ173" s="111">
        <v>5000000</v>
      </c>
      <c r="AK173" s="97">
        <v>1</v>
      </c>
      <c r="AL173" s="20">
        <f t="shared" si="63"/>
        <v>682</v>
      </c>
      <c r="AM173" s="115">
        <f t="shared" si="68"/>
        <v>3410000000</v>
      </c>
      <c r="AN173" s="20"/>
    </row>
    <row r="174" spans="7:43">
      <c r="G174" s="207" t="s">
        <v>5482</v>
      </c>
      <c r="H174" s="1">
        <v>12642697.648548001</v>
      </c>
      <c r="O174" s="112"/>
      <c r="P174" s="112"/>
      <c r="Q174" s="94"/>
      <c r="R174" s="94"/>
      <c r="S174" s="94"/>
      <c r="T174" s="94"/>
      <c r="U174" s="87"/>
      <c r="V174" s="87"/>
      <c r="W174" s="140"/>
      <c r="X174" s="113"/>
      <c r="Y174" t="s">
        <v>25</v>
      </c>
      <c r="AH174" s="97">
        <v>154</v>
      </c>
      <c r="AI174" s="111" t="s">
        <v>4955</v>
      </c>
      <c r="AJ174" s="111">
        <v>2500000</v>
      </c>
      <c r="AK174" s="97">
        <v>2</v>
      </c>
      <c r="AL174" s="20">
        <f t="shared" si="63"/>
        <v>681</v>
      </c>
      <c r="AM174" s="115">
        <f t="shared" si="68"/>
        <v>1702500000</v>
      </c>
      <c r="AN174" s="20"/>
    </row>
    <row r="175" spans="7:43">
      <c r="G175" s="207" t="s">
        <v>5483</v>
      </c>
      <c r="H175" s="1">
        <v>12297318</v>
      </c>
      <c r="I175" t="s">
        <v>25</v>
      </c>
      <c r="P175" s="112"/>
      <c r="Q175" s="94"/>
      <c r="R175" s="94"/>
      <c r="S175" s="94"/>
      <c r="T175" s="94"/>
      <c r="V175" s="94"/>
      <c r="Y175" t="s">
        <v>25</v>
      </c>
      <c r="AH175" s="250">
        <v>155</v>
      </c>
      <c r="AI175" s="246" t="s">
        <v>4961</v>
      </c>
      <c r="AJ175" s="246">
        <v>-50000000</v>
      </c>
      <c r="AK175" s="250">
        <v>7</v>
      </c>
      <c r="AL175" s="250">
        <f t="shared" si="63"/>
        <v>679</v>
      </c>
      <c r="AM175" s="246">
        <f t="shared" si="68"/>
        <v>-33950000000</v>
      </c>
      <c r="AN175" s="250" t="s">
        <v>4969</v>
      </c>
    </row>
    <row r="176" spans="7:43">
      <c r="G176" s="207" t="s">
        <v>5484</v>
      </c>
      <c r="H176" s="1">
        <v>8959644</v>
      </c>
      <c r="P176" s="112"/>
      <c r="Q176" s="94"/>
      <c r="R176" s="94"/>
      <c r="S176" s="94"/>
      <c r="T176" s="94" t="s">
        <v>25</v>
      </c>
      <c r="V176" s="94"/>
      <c r="AH176" s="97">
        <v>156</v>
      </c>
      <c r="AI176" s="111" t="s">
        <v>4967</v>
      </c>
      <c r="AJ176" s="111">
        <v>10000000</v>
      </c>
      <c r="AK176" s="97">
        <v>12</v>
      </c>
      <c r="AL176" s="20">
        <f t="shared" si="63"/>
        <v>672</v>
      </c>
      <c r="AM176" s="115">
        <f t="shared" si="68"/>
        <v>6720000000</v>
      </c>
      <c r="AN176" s="20" t="s">
        <v>4678</v>
      </c>
    </row>
    <row r="177" spans="5:43">
      <c r="G177" s="207" t="s">
        <v>5485</v>
      </c>
      <c r="H177" s="111">
        <v>15154095.839328</v>
      </c>
      <c r="P177" s="112"/>
      <c r="S177" s="94"/>
      <c r="T177" s="94"/>
      <c r="V177" s="94"/>
      <c r="AH177" s="97">
        <v>157</v>
      </c>
      <c r="AI177" s="111" t="s">
        <v>4974</v>
      </c>
      <c r="AJ177" s="111">
        <v>-16266000</v>
      </c>
      <c r="AK177" s="97">
        <v>1</v>
      </c>
      <c r="AL177" s="20">
        <f t="shared" si="63"/>
        <v>660</v>
      </c>
      <c r="AM177" s="115">
        <f t="shared" si="68"/>
        <v>-10735560000</v>
      </c>
      <c r="AN177" s="20" t="s">
        <v>4982</v>
      </c>
      <c r="AQ177" t="s">
        <v>25</v>
      </c>
    </row>
    <row r="178" spans="5:43">
      <c r="G178" s="207" t="s">
        <v>5490</v>
      </c>
      <c r="H178" s="111">
        <v>4108143</v>
      </c>
      <c r="P178" s="112"/>
      <c r="Q178" s="94"/>
      <c r="R178" s="94"/>
      <c r="S178" s="94"/>
      <c r="T178" s="97" t="s">
        <v>180</v>
      </c>
      <c r="U178" s="97" t="s">
        <v>4436</v>
      </c>
      <c r="V178" s="97" t="s">
        <v>4437</v>
      </c>
      <c r="W178" s="97" t="s">
        <v>4447</v>
      </c>
      <c r="X178" s="97" t="s">
        <v>8</v>
      </c>
      <c r="Y178" t="s">
        <v>25</v>
      </c>
      <c r="AH178" s="97">
        <v>158</v>
      </c>
      <c r="AI178" s="111" t="s">
        <v>4983</v>
      </c>
      <c r="AJ178" s="111">
        <v>1000000</v>
      </c>
      <c r="AK178" s="97">
        <v>6</v>
      </c>
      <c r="AL178" s="20">
        <f>AL179+AK178</f>
        <v>659</v>
      </c>
      <c r="AM178" s="115">
        <f>AJ178*AL178</f>
        <v>659000000</v>
      </c>
      <c r="AN178" s="20"/>
    </row>
    <row r="179" spans="5:43">
      <c r="G179" s="207" t="s">
        <v>5492</v>
      </c>
      <c r="H179" s="111">
        <v>6000000</v>
      </c>
      <c r="P179" s="112"/>
      <c r="Q179" s="94"/>
      <c r="R179" s="94"/>
      <c r="S179" s="94"/>
      <c r="T179" s="111" t="s">
        <v>4420</v>
      </c>
      <c r="U179" s="54">
        <v>1000000</v>
      </c>
      <c r="V179" s="111">
        <v>239.024</v>
      </c>
      <c r="W179" s="111">
        <f t="shared" ref="W179:W280" si="71">U179*V179</f>
        <v>239024000</v>
      </c>
      <c r="X179" s="97"/>
      <c r="AH179" s="97">
        <v>159</v>
      </c>
      <c r="AI179" s="111" t="s">
        <v>4991</v>
      </c>
      <c r="AJ179" s="111">
        <v>40000</v>
      </c>
      <c r="AK179" s="97">
        <v>5</v>
      </c>
      <c r="AL179" s="20">
        <f>AL180+AK179</f>
        <v>653</v>
      </c>
      <c r="AM179" s="115">
        <f>AJ179*AL179</f>
        <v>26120000</v>
      </c>
      <c r="AN179" s="20"/>
    </row>
    <row r="180" spans="5:43">
      <c r="G180" s="207" t="s">
        <v>5496</v>
      </c>
      <c r="H180" s="111">
        <v>8301786</v>
      </c>
      <c r="I180" t="s">
        <v>25</v>
      </c>
      <c r="P180" s="112"/>
      <c r="Q180" s="36" t="s">
        <v>4515</v>
      </c>
      <c r="R180" s="93">
        <f>SUM(N45:N54)</f>
        <v>6706263310</v>
      </c>
      <c r="T180" s="166" t="s">
        <v>4402</v>
      </c>
      <c r="U180" s="54">
        <v>5904</v>
      </c>
      <c r="V180" s="111">
        <v>237.148</v>
      </c>
      <c r="W180" s="111">
        <f t="shared" si="71"/>
        <v>1400121.7919999999</v>
      </c>
      <c r="X180" s="97" t="s">
        <v>744</v>
      </c>
      <c r="Z180" t="s">
        <v>25</v>
      </c>
      <c r="AH180" s="97">
        <v>160</v>
      </c>
      <c r="AI180" s="111" t="s">
        <v>4999</v>
      </c>
      <c r="AJ180" s="111">
        <v>120000</v>
      </c>
      <c r="AK180" s="97">
        <v>6</v>
      </c>
      <c r="AL180" s="20">
        <f>AL181+AK180</f>
        <v>648</v>
      </c>
      <c r="AM180" s="115">
        <f>AJ180*AL180</f>
        <v>77760000</v>
      </c>
      <c r="AN180" s="20"/>
    </row>
    <row r="181" spans="5:43">
      <c r="G181" s="207" t="s">
        <v>5500</v>
      </c>
      <c r="H181" s="111">
        <v>50725508.571864001</v>
      </c>
      <c r="P181" s="112"/>
      <c r="Q181" s="97" t="s">
        <v>4411</v>
      </c>
      <c r="R181" s="93">
        <f>SUM(N21:N26)</f>
        <v>3874824720</v>
      </c>
      <c r="T181" s="166" t="s">
        <v>4208</v>
      </c>
      <c r="U181" s="166">
        <v>1000</v>
      </c>
      <c r="V181" s="111">
        <v>247.393</v>
      </c>
      <c r="W181" s="111">
        <f t="shared" si="71"/>
        <v>247393</v>
      </c>
      <c r="X181" s="97" t="s">
        <v>744</v>
      </c>
      <c r="Y181" t="s">
        <v>25</v>
      </c>
      <c r="AH181" s="97">
        <v>161</v>
      </c>
      <c r="AI181" s="111" t="s">
        <v>4996</v>
      </c>
      <c r="AJ181" s="111">
        <v>249000</v>
      </c>
      <c r="AK181" s="97">
        <v>9</v>
      </c>
      <c r="AL181" s="20">
        <f>AL182+AK181</f>
        <v>642</v>
      </c>
      <c r="AM181" s="115">
        <f>AJ181*AL181</f>
        <v>159858000</v>
      </c>
      <c r="AN181" s="20"/>
    </row>
    <row r="182" spans="5:43">
      <c r="E182" t="s">
        <v>25</v>
      </c>
      <c r="G182" s="207" t="s">
        <v>5501</v>
      </c>
      <c r="H182" s="111">
        <v>2281961.458596</v>
      </c>
      <c r="P182" s="112"/>
      <c r="Q182" s="97" t="s">
        <v>4412</v>
      </c>
      <c r="R182" s="93">
        <f>SUM(N29:N33)</f>
        <v>515299585</v>
      </c>
      <c r="T182" s="166" t="s">
        <v>4448</v>
      </c>
      <c r="U182" s="166">
        <v>8071</v>
      </c>
      <c r="V182" s="111">
        <v>247.797</v>
      </c>
      <c r="W182" s="111">
        <f t="shared" si="71"/>
        <v>1999969.5870000001</v>
      </c>
      <c r="X182" s="97" t="s">
        <v>4409</v>
      </c>
      <c r="Y182" t="s">
        <v>25</v>
      </c>
      <c r="AH182" s="97">
        <v>162</v>
      </c>
      <c r="AI182" s="111" t="s">
        <v>5021</v>
      </c>
      <c r="AJ182" s="111">
        <v>65000</v>
      </c>
      <c r="AK182" s="97">
        <v>7</v>
      </c>
      <c r="AL182" s="20">
        <f>AL183+AK182</f>
        <v>633</v>
      </c>
      <c r="AM182" s="115">
        <f>AJ182*AL182</f>
        <v>41145000</v>
      </c>
      <c r="AN182" s="20"/>
    </row>
    <row r="183" spans="5:43">
      <c r="G183" s="207" t="s">
        <v>5508</v>
      </c>
      <c r="H183" s="111">
        <v>10998285</v>
      </c>
      <c r="P183" s="112"/>
      <c r="Q183" s="97" t="s">
        <v>4413</v>
      </c>
      <c r="R183" s="93">
        <f>N44</f>
        <v>1352</v>
      </c>
      <c r="T183" s="166" t="s">
        <v>4448</v>
      </c>
      <c r="U183" s="166">
        <v>53672</v>
      </c>
      <c r="V183" s="111">
        <v>247.797</v>
      </c>
      <c r="W183" s="111">
        <f t="shared" si="71"/>
        <v>13299760.584000001</v>
      </c>
      <c r="X183" s="97" t="s">
        <v>452</v>
      </c>
      <c r="Y183" t="s">
        <v>25</v>
      </c>
      <c r="AA183" t="s">
        <v>25</v>
      </c>
      <c r="AH183" s="97">
        <v>163</v>
      </c>
      <c r="AI183" s="111" t="s">
        <v>5030</v>
      </c>
      <c r="AJ183" s="111">
        <v>-312598</v>
      </c>
      <c r="AK183" s="97">
        <v>0</v>
      </c>
      <c r="AL183" s="20">
        <f t="shared" ref="AL183:AL190" si="72">AL184+AK183</f>
        <v>626</v>
      </c>
      <c r="AM183" s="115">
        <f t="shared" ref="AM183:AM190" si="73">AJ183*AL183</f>
        <v>-195686348</v>
      </c>
      <c r="AN183" s="20"/>
      <c r="AO183" t="s">
        <v>25</v>
      </c>
      <c r="AQ183" t="s">
        <v>25</v>
      </c>
    </row>
    <row r="184" spans="5:43">
      <c r="G184" s="207" t="s">
        <v>5509</v>
      </c>
      <c r="H184" s="111">
        <v>983018.96187300002</v>
      </c>
      <c r="P184" s="112"/>
      <c r="Q184" s="97" t="s">
        <v>4414</v>
      </c>
      <c r="R184" s="93">
        <f>N20</f>
        <v>217</v>
      </c>
      <c r="T184" s="166" t="s">
        <v>4456</v>
      </c>
      <c r="U184" s="166">
        <v>4099</v>
      </c>
      <c r="V184" s="111">
        <v>243.93</v>
      </c>
      <c r="W184" s="111">
        <f t="shared" si="71"/>
        <v>999869.07000000007</v>
      </c>
      <c r="X184" s="97" t="s">
        <v>4409</v>
      </c>
      <c r="AH184" s="97">
        <v>164</v>
      </c>
      <c r="AI184" s="111" t="s">
        <v>5030</v>
      </c>
      <c r="AJ184" s="111">
        <v>50000</v>
      </c>
      <c r="AK184" s="97">
        <v>6</v>
      </c>
      <c r="AL184" s="20">
        <f t="shared" si="72"/>
        <v>626</v>
      </c>
      <c r="AM184" s="115">
        <f t="shared" si="73"/>
        <v>31300000</v>
      </c>
      <c r="AN184" s="20"/>
    </row>
    <row r="185" spans="5:43">
      <c r="G185" s="207" t="s">
        <v>5511</v>
      </c>
      <c r="H185" s="111">
        <v>17049271.032000002</v>
      </c>
      <c r="I185" s="94"/>
      <c r="P185" s="112"/>
      <c r="Q185" s="97" t="s">
        <v>4415</v>
      </c>
      <c r="R185" s="93">
        <f>N28</f>
        <v>686</v>
      </c>
      <c r="T185" s="166" t="s">
        <v>4456</v>
      </c>
      <c r="U185" s="166">
        <v>9301</v>
      </c>
      <c r="V185" s="111">
        <v>243.93</v>
      </c>
      <c r="W185" s="111">
        <f t="shared" si="71"/>
        <v>2268792.9300000002</v>
      </c>
      <c r="X185" s="97" t="s">
        <v>452</v>
      </c>
      <c r="Z185" t="s">
        <v>25</v>
      </c>
      <c r="AH185" s="97">
        <v>165</v>
      </c>
      <c r="AI185" s="111" t="s">
        <v>5040</v>
      </c>
      <c r="AJ185" s="111">
        <v>-200000</v>
      </c>
      <c r="AK185" s="97">
        <v>0</v>
      </c>
      <c r="AL185" s="20">
        <f t="shared" si="72"/>
        <v>620</v>
      </c>
      <c r="AM185" s="115">
        <f t="shared" si="73"/>
        <v>-124000000</v>
      </c>
      <c r="AN185" s="20" t="s">
        <v>5041</v>
      </c>
    </row>
    <row r="186" spans="5:43">
      <c r="G186" s="207" t="s">
        <v>5514</v>
      </c>
      <c r="H186" s="111">
        <v>6829998</v>
      </c>
      <c r="I186" s="94"/>
      <c r="O186" s="112"/>
      <c r="P186" s="112"/>
      <c r="Q186" s="97"/>
      <c r="R186" s="93"/>
      <c r="S186" t="s">
        <v>25</v>
      </c>
      <c r="T186" s="166" t="s">
        <v>4460</v>
      </c>
      <c r="U186" s="166">
        <v>8334</v>
      </c>
      <c r="V186" s="111">
        <v>239.97</v>
      </c>
      <c r="W186" s="111">
        <f t="shared" si="71"/>
        <v>1999909.98</v>
      </c>
      <c r="X186" s="97" t="s">
        <v>4409</v>
      </c>
      <c r="AH186" s="97">
        <v>166</v>
      </c>
      <c r="AI186" s="111" t="s">
        <v>5040</v>
      </c>
      <c r="AJ186" s="111">
        <v>200000</v>
      </c>
      <c r="AK186" s="97">
        <v>3</v>
      </c>
      <c r="AL186" s="20">
        <f t="shared" si="72"/>
        <v>620</v>
      </c>
      <c r="AM186" s="115">
        <f t="shared" si="73"/>
        <v>124000000</v>
      </c>
      <c r="AN186" s="20"/>
      <c r="AQ186" t="s">
        <v>25</v>
      </c>
    </row>
    <row r="187" spans="5:43">
      <c r="G187" s="207" t="s">
        <v>4212</v>
      </c>
      <c r="H187" s="111">
        <v>6982608.8207999999</v>
      </c>
      <c r="I187" s="94"/>
      <c r="O187" t="s">
        <v>25</v>
      </c>
      <c r="P187" s="112"/>
      <c r="Q187" s="97" t="s">
        <v>5057</v>
      </c>
      <c r="R187" s="93">
        <v>0</v>
      </c>
      <c r="T187" s="166" t="s">
        <v>4207</v>
      </c>
      <c r="U187" s="166">
        <v>29041</v>
      </c>
      <c r="V187" s="111">
        <v>233.45</v>
      </c>
      <c r="W187" s="111">
        <f t="shared" si="71"/>
        <v>6779621.4499999993</v>
      </c>
      <c r="X187" s="97" t="s">
        <v>744</v>
      </c>
      <c r="Y187" s="120" t="s">
        <v>25</v>
      </c>
      <c r="AH187" s="97">
        <v>167</v>
      </c>
      <c r="AI187" s="111" t="s">
        <v>5047</v>
      </c>
      <c r="AJ187" s="111">
        <v>200000</v>
      </c>
      <c r="AK187" s="97">
        <v>3</v>
      </c>
      <c r="AL187" s="20">
        <f t="shared" si="72"/>
        <v>617</v>
      </c>
      <c r="AM187" s="115">
        <f t="shared" si="73"/>
        <v>123400000</v>
      </c>
      <c r="AN187" s="20"/>
    </row>
    <row r="188" spans="5:43">
      <c r="G188" s="207" t="s">
        <v>5535</v>
      </c>
      <c r="H188" s="111">
        <v>7510131.0216000006</v>
      </c>
      <c r="I188" s="94"/>
      <c r="P188" s="112"/>
      <c r="Q188" s="97" t="s">
        <v>6547</v>
      </c>
      <c r="R188" s="93">
        <v>-700</v>
      </c>
      <c r="S188" s="94"/>
      <c r="T188" s="166" t="s">
        <v>979</v>
      </c>
      <c r="U188" s="166">
        <v>12337</v>
      </c>
      <c r="V188" s="111">
        <v>243.16300000000001</v>
      </c>
      <c r="W188" s="111">
        <f t="shared" si="71"/>
        <v>2999901.9310000003</v>
      </c>
      <c r="X188" s="97" t="s">
        <v>4409</v>
      </c>
      <c r="AH188" s="97">
        <v>168</v>
      </c>
      <c r="AI188" s="111" t="s">
        <v>5050</v>
      </c>
      <c r="AJ188" s="111">
        <v>30000</v>
      </c>
      <c r="AK188" s="97">
        <v>7</v>
      </c>
      <c r="AL188" s="20">
        <f t="shared" si="72"/>
        <v>614</v>
      </c>
      <c r="AM188" s="115">
        <f t="shared" si="73"/>
        <v>18420000</v>
      </c>
      <c r="AN188" s="20"/>
    </row>
    <row r="189" spans="5:43">
      <c r="G189" s="207" t="s">
        <v>5541</v>
      </c>
      <c r="H189" s="111">
        <v>10397191</v>
      </c>
      <c r="J189" t="s">
        <v>25</v>
      </c>
      <c r="O189" t="s">
        <v>25</v>
      </c>
      <c r="P189" s="112"/>
      <c r="Q189" s="97" t="s">
        <v>1071</v>
      </c>
      <c r="R189" s="93"/>
      <c r="S189" s="94"/>
      <c r="T189" s="166" t="s">
        <v>4533</v>
      </c>
      <c r="U189" s="166">
        <v>-16118</v>
      </c>
      <c r="V189" s="111">
        <v>248.17</v>
      </c>
      <c r="W189" s="111">
        <f t="shared" si="71"/>
        <v>-4000004.0599999996</v>
      </c>
      <c r="X189" s="97" t="s">
        <v>744</v>
      </c>
      <c r="Y189" t="s">
        <v>25</v>
      </c>
      <c r="AB189" t="s">
        <v>25</v>
      </c>
      <c r="AH189" s="97">
        <v>169</v>
      </c>
      <c r="AI189" s="111" t="s">
        <v>5009</v>
      </c>
      <c r="AJ189" s="111">
        <v>-10000000</v>
      </c>
      <c r="AK189" s="97">
        <v>0</v>
      </c>
      <c r="AL189" s="20">
        <f t="shared" si="72"/>
        <v>607</v>
      </c>
      <c r="AM189" s="115">
        <f t="shared" si="73"/>
        <v>-6070000000</v>
      </c>
      <c r="AN189" s="20" t="s">
        <v>4969</v>
      </c>
    </row>
    <row r="190" spans="5:43">
      <c r="G190" s="207" t="s">
        <v>5550</v>
      </c>
      <c r="H190" s="111">
        <v>195059.35799999998</v>
      </c>
      <c r="J190" t="s">
        <v>25</v>
      </c>
      <c r="P190" s="112"/>
      <c r="Q190" s="36" t="s">
        <v>744</v>
      </c>
      <c r="R190" s="93"/>
      <c r="S190" s="113" t="s">
        <v>25</v>
      </c>
      <c r="T190" s="166" t="s">
        <v>4554</v>
      </c>
      <c r="U190" s="166">
        <v>101681</v>
      </c>
      <c r="V190" s="111">
        <v>246.5711</v>
      </c>
      <c r="W190" s="111">
        <f t="shared" si="71"/>
        <v>25071596.019099999</v>
      </c>
      <c r="X190" s="97" t="s">
        <v>452</v>
      </c>
      <c r="AH190" s="97">
        <v>170</v>
      </c>
      <c r="AI190" s="111" t="s">
        <v>5009</v>
      </c>
      <c r="AJ190" s="111">
        <v>6000000</v>
      </c>
      <c r="AK190" s="97">
        <v>8</v>
      </c>
      <c r="AL190" s="20">
        <f t="shared" si="72"/>
        <v>607</v>
      </c>
      <c r="AM190" s="115">
        <f t="shared" si="73"/>
        <v>3642000000</v>
      </c>
      <c r="AN190" s="20"/>
      <c r="AP190" t="s">
        <v>25</v>
      </c>
    </row>
    <row r="191" spans="5:43">
      <c r="G191" s="207" t="s">
        <v>5555</v>
      </c>
      <c r="H191" s="111">
        <v>744082</v>
      </c>
      <c r="P191" s="112"/>
      <c r="Q191" s="97"/>
      <c r="R191" s="93"/>
      <c r="S191" s="120" t="s">
        <v>25</v>
      </c>
      <c r="T191" s="166" t="s">
        <v>4558</v>
      </c>
      <c r="U191" s="166">
        <v>66606</v>
      </c>
      <c r="V191" s="111">
        <v>251.131</v>
      </c>
      <c r="W191" s="111">
        <f t="shared" si="71"/>
        <v>16726831.386</v>
      </c>
      <c r="X191" s="97" t="s">
        <v>744</v>
      </c>
      <c r="AH191" s="97">
        <v>171</v>
      </c>
      <c r="AI191" s="111" t="s">
        <v>5074</v>
      </c>
      <c r="AJ191" s="111">
        <v>150000</v>
      </c>
      <c r="AK191" s="97">
        <v>7</v>
      </c>
      <c r="AL191" s="20">
        <f>AL192+AK191</f>
        <v>599</v>
      </c>
      <c r="AM191" s="115">
        <f>AJ191*AL191</f>
        <v>89850000</v>
      </c>
      <c r="AN191" s="20"/>
    </row>
    <row r="192" spans="5:43">
      <c r="G192" s="207" t="s">
        <v>5557</v>
      </c>
      <c r="H192" s="111">
        <v>920308.446</v>
      </c>
      <c r="K192" t="s">
        <v>25</v>
      </c>
      <c r="O192" t="s">
        <v>25</v>
      </c>
      <c r="P192" s="112"/>
      <c r="Q192" s="97" t="s">
        <v>5058</v>
      </c>
      <c r="R192" s="93">
        <v>0</v>
      </c>
      <c r="S192" s="120"/>
      <c r="T192" s="166" t="s">
        <v>4563</v>
      </c>
      <c r="U192" s="166">
        <v>172025</v>
      </c>
      <c r="V192" s="111">
        <v>245.52809999999999</v>
      </c>
      <c r="W192" s="111">
        <f t="shared" si="71"/>
        <v>42236971.402499996</v>
      </c>
      <c r="X192" s="97" t="s">
        <v>452</v>
      </c>
      <c r="AH192" s="97">
        <v>172</v>
      </c>
      <c r="AI192" s="111" t="s">
        <v>5107</v>
      </c>
      <c r="AJ192" s="111">
        <v>400000</v>
      </c>
      <c r="AK192" s="97">
        <v>1</v>
      </c>
      <c r="AL192" s="20">
        <f>AL193+AK192</f>
        <v>592</v>
      </c>
      <c r="AM192" s="115">
        <f>AJ192*AL192</f>
        <v>236800000</v>
      </c>
      <c r="AN192" s="20"/>
    </row>
    <row r="193" spans="7:45">
      <c r="G193" s="207" t="s">
        <v>5558</v>
      </c>
      <c r="H193" s="111">
        <v>4635809.8416840006</v>
      </c>
      <c r="J193" t="s">
        <v>25</v>
      </c>
      <c r="P193" s="112"/>
      <c r="Q193" s="97"/>
      <c r="R193" s="93"/>
      <c r="S193" s="113"/>
      <c r="T193" s="166" t="s">
        <v>4563</v>
      </c>
      <c r="U193" s="166">
        <v>189227</v>
      </c>
      <c r="V193" s="111">
        <v>245.52809999999999</v>
      </c>
      <c r="W193" s="111">
        <f t="shared" si="71"/>
        <v>46460545.778700002</v>
      </c>
      <c r="X193" s="97" t="s">
        <v>744</v>
      </c>
      <c r="AH193" s="97">
        <v>173</v>
      </c>
      <c r="AI193" s="111" t="s">
        <v>5110</v>
      </c>
      <c r="AJ193" s="111">
        <v>-100000</v>
      </c>
      <c r="AK193" s="97">
        <v>1</v>
      </c>
      <c r="AL193" s="20">
        <f>AL194+AK193</f>
        <v>591</v>
      </c>
      <c r="AM193" s="115">
        <f>AJ193*AL193</f>
        <v>-59100000</v>
      </c>
      <c r="AN193" s="20"/>
    </row>
    <row r="194" spans="7:45">
      <c r="G194" s="207" t="s">
        <v>5588</v>
      </c>
      <c r="H194" s="111">
        <v>58508002.009000003</v>
      </c>
      <c r="J194" t="s">
        <v>25</v>
      </c>
      <c r="O194" t="s">
        <v>5543</v>
      </c>
      <c r="P194" s="112"/>
      <c r="Q194" s="97"/>
      <c r="R194" s="93"/>
      <c r="S194" s="113"/>
      <c r="T194" s="166" t="s">
        <v>4564</v>
      </c>
      <c r="U194" s="166">
        <v>79720</v>
      </c>
      <c r="V194" s="111">
        <v>246.6568</v>
      </c>
      <c r="W194" s="111">
        <f t="shared" si="71"/>
        <v>19663480.096000001</v>
      </c>
      <c r="X194" s="97" t="s">
        <v>452</v>
      </c>
      <c r="Y194" s="8" t="s">
        <v>25</v>
      </c>
      <c r="Z194" t="s">
        <v>25</v>
      </c>
      <c r="AH194" s="97">
        <v>174</v>
      </c>
      <c r="AI194" s="111" t="s">
        <v>5114</v>
      </c>
      <c r="AJ194" s="111">
        <v>10000000</v>
      </c>
      <c r="AK194" s="97">
        <v>1</v>
      </c>
      <c r="AL194" s="20">
        <f>AL195+AK194</f>
        <v>590</v>
      </c>
      <c r="AM194" s="115">
        <f>AJ194*AL194</f>
        <v>5900000000</v>
      </c>
      <c r="AN194" s="20" t="s">
        <v>4678</v>
      </c>
      <c r="AS194" t="s">
        <v>25</v>
      </c>
    </row>
    <row r="195" spans="7:45">
      <c r="G195" s="207" t="s">
        <v>5590</v>
      </c>
      <c r="H195" s="111">
        <v>2245515.5410799999</v>
      </c>
      <c r="P195" s="112"/>
      <c r="Q195" s="97" t="s">
        <v>4419</v>
      </c>
      <c r="R195" s="93">
        <f>SUM(R180:R194)</f>
        <v>11096389170</v>
      </c>
      <c r="T195" s="166" t="s">
        <v>4564</v>
      </c>
      <c r="U195" s="166">
        <v>79720</v>
      </c>
      <c r="V195" s="111">
        <v>246.6568</v>
      </c>
      <c r="W195" s="111">
        <f t="shared" si="71"/>
        <v>19663480.096000001</v>
      </c>
      <c r="X195" s="97" t="s">
        <v>744</v>
      </c>
      <c r="AH195" s="97">
        <v>175</v>
      </c>
      <c r="AI195" s="111" t="s">
        <v>5119</v>
      </c>
      <c r="AJ195" s="111">
        <v>-400000</v>
      </c>
      <c r="AK195" s="97">
        <v>6</v>
      </c>
      <c r="AL195" s="20">
        <f t="shared" ref="AL195:AL203" si="74">AL196+AK195</f>
        <v>589</v>
      </c>
      <c r="AM195" s="115">
        <f t="shared" ref="AM195:AM203" si="75">AJ195*AL195</f>
        <v>-235600000</v>
      </c>
      <c r="AN195" s="20"/>
    </row>
    <row r="196" spans="7:45">
      <c r="G196" s="207" t="s">
        <v>5592</v>
      </c>
      <c r="H196" s="111">
        <v>18404699.3442</v>
      </c>
      <c r="Q196" s="94"/>
      <c r="T196" s="166" t="s">
        <v>4585</v>
      </c>
      <c r="U196" s="166">
        <v>17769</v>
      </c>
      <c r="V196" s="111">
        <v>246.17877999999999</v>
      </c>
      <c r="W196" s="111">
        <f t="shared" si="71"/>
        <v>4374350.7418200001</v>
      </c>
      <c r="X196" s="97" t="s">
        <v>744</v>
      </c>
      <c r="AH196" s="97">
        <v>176</v>
      </c>
      <c r="AI196" s="111" t="s">
        <v>5126</v>
      </c>
      <c r="AJ196" s="111">
        <v>1300000</v>
      </c>
      <c r="AK196" s="97">
        <v>0</v>
      </c>
      <c r="AL196" s="20">
        <f t="shared" si="74"/>
        <v>583</v>
      </c>
      <c r="AM196" s="115">
        <f t="shared" si="75"/>
        <v>757900000</v>
      </c>
      <c r="AN196" s="20"/>
      <c r="AR196" t="s">
        <v>25</v>
      </c>
    </row>
    <row r="197" spans="7:45">
      <c r="G197" s="207" t="s">
        <v>5595</v>
      </c>
      <c r="H197" s="111">
        <v>2264658.5922190002</v>
      </c>
      <c r="J197" t="s">
        <v>25</v>
      </c>
      <c r="T197" s="166" t="s">
        <v>4585</v>
      </c>
      <c r="U197" s="166">
        <v>17769</v>
      </c>
      <c r="V197" s="111">
        <v>246.17877999999999</v>
      </c>
      <c r="W197" s="111">
        <f t="shared" si="71"/>
        <v>4374350.7418200001</v>
      </c>
      <c r="X197" s="97" t="s">
        <v>452</v>
      </c>
      <c r="AH197" s="97">
        <v>177</v>
      </c>
      <c r="AI197" s="111" t="s">
        <v>5126</v>
      </c>
      <c r="AJ197" s="111">
        <v>230000</v>
      </c>
      <c r="AK197" s="97">
        <v>1</v>
      </c>
      <c r="AL197" s="20">
        <f t="shared" si="74"/>
        <v>583</v>
      </c>
      <c r="AM197" s="115">
        <f t="shared" si="75"/>
        <v>134090000</v>
      </c>
      <c r="AN197" s="20"/>
    </row>
    <row r="198" spans="7:45">
      <c r="G198" s="207" t="s">
        <v>5597</v>
      </c>
      <c r="H198" s="111">
        <v>22877413.789960001</v>
      </c>
      <c r="J198" t="s">
        <v>25</v>
      </c>
      <c r="K198" t="s">
        <v>25</v>
      </c>
      <c r="Q198" s="207" t="s">
        <v>8</v>
      </c>
      <c r="R198" s="207" t="s">
        <v>4409</v>
      </c>
      <c r="S198" s="207"/>
      <c r="T198" s="166" t="s">
        <v>4587</v>
      </c>
      <c r="U198" s="166">
        <v>12438</v>
      </c>
      <c r="V198" s="111">
        <v>241.20465999999999</v>
      </c>
      <c r="W198" s="111">
        <f t="shared" si="71"/>
        <v>3000103.5610799999</v>
      </c>
      <c r="X198" s="97" t="s">
        <v>4409</v>
      </c>
      <c r="AH198" s="97">
        <v>178</v>
      </c>
      <c r="AI198" s="111" t="s">
        <v>5129</v>
      </c>
      <c r="AJ198" s="111">
        <v>880000</v>
      </c>
      <c r="AK198" s="97">
        <v>4</v>
      </c>
      <c r="AL198" s="20">
        <f t="shared" si="74"/>
        <v>582</v>
      </c>
      <c r="AM198" s="115">
        <f t="shared" si="75"/>
        <v>512160000</v>
      </c>
      <c r="AN198" s="20"/>
    </row>
    <row r="199" spans="7:45">
      <c r="G199" s="207" t="s">
        <v>5600</v>
      </c>
      <c r="H199" s="111">
        <v>2362539.4373280001</v>
      </c>
      <c r="J199" t="s">
        <v>25</v>
      </c>
      <c r="Q199" s="207"/>
      <c r="R199" s="71" t="s">
        <v>180</v>
      </c>
      <c r="S199" s="207" t="s">
        <v>267</v>
      </c>
      <c r="T199" s="166" t="s">
        <v>4596</v>
      </c>
      <c r="U199" s="166">
        <v>27363</v>
      </c>
      <c r="V199" s="111">
        <v>239.3886</v>
      </c>
      <c r="W199" s="111">
        <f t="shared" si="71"/>
        <v>6550390.2617999995</v>
      </c>
      <c r="X199" s="97" t="s">
        <v>744</v>
      </c>
      <c r="AH199" s="97">
        <v>179</v>
      </c>
      <c r="AI199" s="111" t="s">
        <v>5133</v>
      </c>
      <c r="AJ199" s="111">
        <v>-900000</v>
      </c>
      <c r="AK199" s="97">
        <v>1</v>
      </c>
      <c r="AL199" s="20">
        <f t="shared" si="74"/>
        <v>578</v>
      </c>
      <c r="AM199" s="115">
        <f t="shared" si="75"/>
        <v>-520200000</v>
      </c>
      <c r="AN199" s="20"/>
    </row>
    <row r="200" spans="7:45">
      <c r="G200" s="207" t="s">
        <v>5601</v>
      </c>
      <c r="H200" s="111">
        <v>16042676.656608</v>
      </c>
      <c r="P200" s="112"/>
      <c r="Q200" s="207"/>
      <c r="R200" s="207" t="s">
        <v>4402</v>
      </c>
      <c r="S200" s="111">
        <v>3000000</v>
      </c>
      <c r="T200" s="166" t="s">
        <v>4596</v>
      </c>
      <c r="U200" s="166">
        <v>27363</v>
      </c>
      <c r="V200" s="111">
        <v>239.3886</v>
      </c>
      <c r="W200" s="111">
        <f t="shared" si="71"/>
        <v>6550390.2617999995</v>
      </c>
      <c r="X200" s="97" t="s">
        <v>452</v>
      </c>
      <c r="AH200" s="97">
        <v>180</v>
      </c>
      <c r="AI200" s="111" t="s">
        <v>977</v>
      </c>
      <c r="AJ200" s="111">
        <v>-3500000</v>
      </c>
      <c r="AK200" s="97">
        <v>1</v>
      </c>
      <c r="AL200" s="20">
        <f t="shared" si="74"/>
        <v>577</v>
      </c>
      <c r="AM200" s="115">
        <f t="shared" si="75"/>
        <v>-2019500000</v>
      </c>
      <c r="AN200" s="20"/>
      <c r="AR200" t="s">
        <v>25</v>
      </c>
    </row>
    <row r="201" spans="7:45">
      <c r="G201" s="207" t="s">
        <v>5602</v>
      </c>
      <c r="H201" s="111">
        <v>18403291.448284</v>
      </c>
      <c r="O201" t="s">
        <v>25</v>
      </c>
      <c r="P201" s="112"/>
      <c r="Q201" s="207"/>
      <c r="R201" s="207" t="s">
        <v>4448</v>
      </c>
      <c r="S201" s="111">
        <v>2000000</v>
      </c>
      <c r="T201" s="205" t="s">
        <v>4598</v>
      </c>
      <c r="U201" s="205">
        <v>27437</v>
      </c>
      <c r="V201" s="111">
        <v>242.4015</v>
      </c>
      <c r="W201" s="111">
        <f t="shared" si="71"/>
        <v>6650769.9555000002</v>
      </c>
      <c r="X201" s="97" t="s">
        <v>744</v>
      </c>
      <c r="AH201" s="97">
        <v>181</v>
      </c>
      <c r="AI201" s="111" t="s">
        <v>4256</v>
      </c>
      <c r="AJ201" s="111">
        <v>-1600000</v>
      </c>
      <c r="AK201" s="97">
        <v>1</v>
      </c>
      <c r="AL201" s="20">
        <f t="shared" si="74"/>
        <v>576</v>
      </c>
      <c r="AM201" s="115">
        <f t="shared" si="75"/>
        <v>-921600000</v>
      </c>
      <c r="AN201" s="20"/>
      <c r="AQ201" t="s">
        <v>25</v>
      </c>
    </row>
    <row r="202" spans="7:45">
      <c r="G202" s="207" t="s">
        <v>5605</v>
      </c>
      <c r="H202" s="111">
        <v>10561447.246918</v>
      </c>
      <c r="P202" s="112"/>
      <c r="Q202" s="207"/>
      <c r="R202" s="207" t="s">
        <v>4456</v>
      </c>
      <c r="S202" s="111">
        <v>1000000</v>
      </c>
      <c r="T202" s="205" t="s">
        <v>4598</v>
      </c>
      <c r="U202" s="205">
        <v>29104</v>
      </c>
      <c r="V202" s="111">
        <v>242.4015</v>
      </c>
      <c r="W202" s="111">
        <f t="shared" si="71"/>
        <v>7054853.2560000001</v>
      </c>
      <c r="X202" s="97" t="s">
        <v>452</v>
      </c>
      <c r="AH202" s="97">
        <v>182</v>
      </c>
      <c r="AI202" s="111" t="s">
        <v>5138</v>
      </c>
      <c r="AJ202" s="111">
        <v>-800000</v>
      </c>
      <c r="AK202" s="97">
        <v>7</v>
      </c>
      <c r="AL202" s="20">
        <f t="shared" si="74"/>
        <v>575</v>
      </c>
      <c r="AM202" s="115">
        <f t="shared" si="75"/>
        <v>-460000000</v>
      </c>
      <c r="AN202" s="20"/>
    </row>
    <row r="203" spans="7:45">
      <c r="G203" s="207" t="s">
        <v>5606</v>
      </c>
      <c r="H203" s="111">
        <v>1226811.9176660001</v>
      </c>
      <c r="J203" t="s">
        <v>25</v>
      </c>
      <c r="K203" t="s">
        <v>25</v>
      </c>
      <c r="P203" s="112"/>
      <c r="Q203" s="207"/>
      <c r="R203" s="207" t="s">
        <v>4460</v>
      </c>
      <c r="S203" s="111">
        <v>2000000</v>
      </c>
      <c r="T203" s="207" t="s">
        <v>4614</v>
      </c>
      <c r="U203" s="207">
        <v>8991</v>
      </c>
      <c r="V203" s="111">
        <v>238.64867000000001</v>
      </c>
      <c r="W203" s="111">
        <f t="shared" si="71"/>
        <v>2145690.19197</v>
      </c>
      <c r="X203" s="97" t="s">
        <v>744</v>
      </c>
      <c r="AH203" s="97">
        <v>183</v>
      </c>
      <c r="AI203" s="111" t="s">
        <v>5146</v>
      </c>
      <c r="AJ203" s="111">
        <v>50000</v>
      </c>
      <c r="AK203" s="97">
        <v>2</v>
      </c>
      <c r="AL203" s="20">
        <f t="shared" si="74"/>
        <v>568</v>
      </c>
      <c r="AM203" s="115">
        <f t="shared" si="75"/>
        <v>28400000</v>
      </c>
      <c r="AN203" s="20"/>
    </row>
    <row r="204" spans="7:45">
      <c r="G204" s="207" t="s">
        <v>5607</v>
      </c>
      <c r="H204" s="111">
        <v>39373959.190266006</v>
      </c>
      <c r="J204" t="s">
        <v>25</v>
      </c>
      <c r="P204" s="112"/>
      <c r="Q204" s="207"/>
      <c r="R204" s="207" t="s">
        <v>979</v>
      </c>
      <c r="S204" s="111">
        <v>3000000</v>
      </c>
      <c r="T204" s="207" t="s">
        <v>4614</v>
      </c>
      <c r="U204" s="207">
        <v>8991</v>
      </c>
      <c r="V204" s="111">
        <v>238.64867000000001</v>
      </c>
      <c r="W204" s="111">
        <f t="shared" si="71"/>
        <v>2145690.19197</v>
      </c>
      <c r="X204" s="97" t="s">
        <v>452</v>
      </c>
      <c r="AH204" s="97">
        <v>184</v>
      </c>
      <c r="AI204" s="111" t="s">
        <v>5148</v>
      </c>
      <c r="AJ204" s="111">
        <v>400000</v>
      </c>
      <c r="AK204" s="97">
        <v>8</v>
      </c>
      <c r="AL204" s="20">
        <f t="shared" ref="AL204:AL213" si="76">AL205+AK204</f>
        <v>566</v>
      </c>
      <c r="AM204" s="115">
        <f t="shared" ref="AM204:AM213" si="77">AJ204*AL204</f>
        <v>226400000</v>
      </c>
      <c r="AN204" s="20"/>
      <c r="AR204" t="s">
        <v>25</v>
      </c>
    </row>
    <row r="205" spans="7:45">
      <c r="G205" s="207" t="s">
        <v>5612</v>
      </c>
      <c r="H205" s="111">
        <v>27703487.063980002</v>
      </c>
      <c r="P205" s="112"/>
      <c r="Q205" s="207"/>
      <c r="R205" s="207" t="s">
        <v>4587</v>
      </c>
      <c r="S205" s="111">
        <v>3000000</v>
      </c>
      <c r="T205" s="207" t="s">
        <v>4625</v>
      </c>
      <c r="U205" s="207">
        <v>18170</v>
      </c>
      <c r="V205" s="111">
        <v>240.48475999999999</v>
      </c>
      <c r="W205" s="111">
        <f t="shared" si="71"/>
        <v>4369608.0892000003</v>
      </c>
      <c r="X205" s="97" t="s">
        <v>744</v>
      </c>
      <c r="AH205" s="97">
        <v>185</v>
      </c>
      <c r="AI205" s="111" t="s">
        <v>5124</v>
      </c>
      <c r="AJ205" s="111">
        <v>-10000000</v>
      </c>
      <c r="AK205" s="97">
        <v>0</v>
      </c>
      <c r="AL205" s="20">
        <f t="shared" si="76"/>
        <v>558</v>
      </c>
      <c r="AM205" s="115">
        <f t="shared" si="77"/>
        <v>-5580000000</v>
      </c>
      <c r="AN205" s="20" t="s">
        <v>4969</v>
      </c>
    </row>
    <row r="206" spans="7:45">
      <c r="G206" s="207" t="s">
        <v>5613</v>
      </c>
      <c r="H206" s="111">
        <v>8738896.6890719999</v>
      </c>
      <c r="P206" s="112"/>
      <c r="Q206" s="207" t="s">
        <v>4754</v>
      </c>
      <c r="R206" s="207" t="s">
        <v>4749</v>
      </c>
      <c r="S206" s="111">
        <v>-800000</v>
      </c>
      <c r="T206" s="207" t="s">
        <v>4625</v>
      </c>
      <c r="U206" s="207">
        <v>18170</v>
      </c>
      <c r="V206" s="111">
        <v>240.48475999999999</v>
      </c>
      <c r="W206" s="111">
        <f t="shared" si="71"/>
        <v>4369608.0892000003</v>
      </c>
      <c r="X206" s="97" t="s">
        <v>452</v>
      </c>
      <c r="AH206" s="97">
        <v>186</v>
      </c>
      <c r="AI206" s="111" t="s">
        <v>5124</v>
      </c>
      <c r="AJ206" s="111">
        <v>3000000</v>
      </c>
      <c r="AK206" s="97">
        <v>1</v>
      </c>
      <c r="AL206" s="20">
        <f t="shared" si="76"/>
        <v>558</v>
      </c>
      <c r="AM206" s="115">
        <f t="shared" si="77"/>
        <v>1674000000</v>
      </c>
      <c r="AN206" s="20"/>
    </row>
    <row r="207" spans="7:45">
      <c r="G207" s="207" t="s">
        <v>4185</v>
      </c>
      <c r="H207" s="111">
        <v>348201.66738</v>
      </c>
      <c r="P207" s="112"/>
      <c r="Q207" s="207" t="s">
        <v>4755</v>
      </c>
      <c r="R207" s="207" t="s">
        <v>4749</v>
      </c>
      <c r="S207" s="111">
        <v>-900000</v>
      </c>
      <c r="T207" s="207" t="s">
        <v>4627</v>
      </c>
      <c r="U207" s="207">
        <v>36797</v>
      </c>
      <c r="V207" s="111">
        <v>239.0822</v>
      </c>
      <c r="W207" s="111">
        <f t="shared" si="71"/>
        <v>8797507.7134000007</v>
      </c>
      <c r="X207" s="97" t="s">
        <v>744</v>
      </c>
      <c r="AH207" s="97">
        <v>187</v>
      </c>
      <c r="AI207" s="111" t="s">
        <v>5160</v>
      </c>
      <c r="AJ207" s="111">
        <v>500000</v>
      </c>
      <c r="AK207" s="97">
        <v>23</v>
      </c>
      <c r="AL207" s="20">
        <f t="shared" si="76"/>
        <v>557</v>
      </c>
      <c r="AM207" s="115">
        <f t="shared" si="77"/>
        <v>278500000</v>
      </c>
      <c r="AN207" s="20"/>
      <c r="AR207" t="s">
        <v>25</v>
      </c>
    </row>
    <row r="208" spans="7:45">
      <c r="G208" s="207" t="s">
        <v>5615</v>
      </c>
      <c r="H208" s="111">
        <v>4158090.8935679998</v>
      </c>
      <c r="Q208" s="207" t="s">
        <v>4755</v>
      </c>
      <c r="R208" s="207" t="s">
        <v>966</v>
      </c>
      <c r="S208" s="111">
        <v>-1100000</v>
      </c>
      <c r="T208" s="207" t="s">
        <v>4627</v>
      </c>
      <c r="U208" s="207">
        <v>36797</v>
      </c>
      <c r="V208" s="111">
        <v>239.0822</v>
      </c>
      <c r="W208" s="111">
        <f t="shared" si="71"/>
        <v>8797507.7134000007</v>
      </c>
      <c r="X208" s="97" t="s">
        <v>452</v>
      </c>
      <c r="Z208" t="s">
        <v>25</v>
      </c>
      <c r="AH208" s="97">
        <v>188</v>
      </c>
      <c r="AI208" s="111" t="s">
        <v>5181</v>
      </c>
      <c r="AJ208" s="111">
        <v>101268</v>
      </c>
      <c r="AK208" s="97">
        <v>1</v>
      </c>
      <c r="AL208" s="20">
        <f t="shared" si="76"/>
        <v>534</v>
      </c>
      <c r="AM208" s="115">
        <f t="shared" si="77"/>
        <v>54077112</v>
      </c>
      <c r="AN208" s="20"/>
      <c r="AR208" t="s">
        <v>25</v>
      </c>
    </row>
    <row r="209" spans="7:46">
      <c r="G209" s="207" t="s">
        <v>5619</v>
      </c>
      <c r="H209" s="111">
        <v>110770524.97879399</v>
      </c>
      <c r="O209" t="s">
        <v>25</v>
      </c>
      <c r="P209" s="112"/>
      <c r="Q209" s="188" t="s">
        <v>1071</v>
      </c>
      <c r="R209" s="188" t="s">
        <v>4778</v>
      </c>
      <c r="S209" s="193">
        <v>30000000</v>
      </c>
      <c r="T209" s="207" t="s">
        <v>4636</v>
      </c>
      <c r="U209" s="207">
        <v>28066</v>
      </c>
      <c r="V209" s="111">
        <v>237.56970000000001</v>
      </c>
      <c r="W209" s="111">
        <f t="shared" si="71"/>
        <v>6667631.2002000008</v>
      </c>
      <c r="X209" s="97" t="s">
        <v>744</v>
      </c>
      <c r="AH209" s="97">
        <v>189</v>
      </c>
      <c r="AI209" s="111" t="s">
        <v>5184</v>
      </c>
      <c r="AJ209" s="111">
        <v>101000</v>
      </c>
      <c r="AK209" s="97">
        <v>34</v>
      </c>
      <c r="AL209" s="20">
        <f t="shared" si="76"/>
        <v>533</v>
      </c>
      <c r="AM209" s="115">
        <f t="shared" si="77"/>
        <v>53833000</v>
      </c>
      <c r="AN209" s="20"/>
      <c r="AP209" t="s">
        <v>25</v>
      </c>
      <c r="AT209" s="94" t="s">
        <v>25</v>
      </c>
    </row>
    <row r="210" spans="7:46">
      <c r="G210" s="207" t="s">
        <v>5631</v>
      </c>
      <c r="H210" s="111">
        <v>6684147.0064600008</v>
      </c>
      <c r="J210" t="s">
        <v>25</v>
      </c>
      <c r="P210" s="112"/>
      <c r="Q210" s="19" t="s">
        <v>4855</v>
      </c>
      <c r="R210" s="19" t="s">
        <v>4853</v>
      </c>
      <c r="S210" s="115">
        <v>2000000</v>
      </c>
      <c r="T210" s="207" t="s">
        <v>4636</v>
      </c>
      <c r="U210" s="207">
        <v>28066</v>
      </c>
      <c r="V210" s="111">
        <v>237.56970000000001</v>
      </c>
      <c r="W210" s="111">
        <f t="shared" si="71"/>
        <v>6667631.2002000008</v>
      </c>
      <c r="X210" s="97" t="s">
        <v>452</v>
      </c>
      <c r="Y210" t="s">
        <v>25</v>
      </c>
      <c r="AH210" s="97">
        <v>190</v>
      </c>
      <c r="AI210" s="111" t="s">
        <v>5209</v>
      </c>
      <c r="AJ210" s="111">
        <v>-488602</v>
      </c>
      <c r="AK210" s="97">
        <v>5</v>
      </c>
      <c r="AL210" s="20">
        <f t="shared" si="76"/>
        <v>499</v>
      </c>
      <c r="AM210" s="115">
        <f t="shared" si="77"/>
        <v>-243812398</v>
      </c>
      <c r="AN210" s="20"/>
      <c r="AR210" t="s">
        <v>25</v>
      </c>
    </row>
    <row r="211" spans="7:46">
      <c r="G211" s="207" t="s">
        <v>5634</v>
      </c>
      <c r="H211" s="111">
        <v>1826535.2307560001</v>
      </c>
      <c r="J211" t="s">
        <v>25</v>
      </c>
      <c r="Q211" s="187" t="s">
        <v>4876</v>
      </c>
      <c r="R211" s="187" t="s">
        <v>4875</v>
      </c>
      <c r="S211" s="186">
        <v>480105</v>
      </c>
      <c r="T211" s="207" t="s">
        <v>3668</v>
      </c>
      <c r="U211" s="207">
        <v>37457</v>
      </c>
      <c r="V211" s="111">
        <v>239.77</v>
      </c>
      <c r="W211" s="111">
        <f t="shared" si="71"/>
        <v>8981064.8900000006</v>
      </c>
      <c r="X211" s="97" t="s">
        <v>744</v>
      </c>
      <c r="AH211" s="97">
        <v>191</v>
      </c>
      <c r="AI211" s="111" t="s">
        <v>5223</v>
      </c>
      <c r="AJ211" s="111">
        <v>360000</v>
      </c>
      <c r="AK211" s="97">
        <v>10</v>
      </c>
      <c r="AL211" s="20">
        <f t="shared" si="76"/>
        <v>494</v>
      </c>
      <c r="AM211" s="115">
        <f t="shared" si="77"/>
        <v>177840000</v>
      </c>
      <c r="AN211" s="20"/>
      <c r="AR211" t="s">
        <v>25</v>
      </c>
    </row>
    <row r="212" spans="7:46">
      <c r="G212" s="207" t="s">
        <v>5638</v>
      </c>
      <c r="H212" s="111">
        <v>3577366.94</v>
      </c>
      <c r="P212" s="112"/>
      <c r="Q212" s="187"/>
      <c r="R212" s="187" t="s">
        <v>4916</v>
      </c>
      <c r="S212" s="186">
        <v>30500000</v>
      </c>
      <c r="T212" s="207" t="s">
        <v>3668</v>
      </c>
      <c r="U212" s="207">
        <v>37457</v>
      </c>
      <c r="V212" s="111">
        <v>239.77</v>
      </c>
      <c r="W212" s="111">
        <f t="shared" si="71"/>
        <v>8981064.8900000006</v>
      </c>
      <c r="X212" s="97" t="s">
        <v>452</v>
      </c>
      <c r="Y212" s="94" t="s">
        <v>25</v>
      </c>
      <c r="AH212" s="97">
        <v>192</v>
      </c>
      <c r="AI212" s="111" t="s">
        <v>5233</v>
      </c>
      <c r="AJ212" s="111">
        <v>-3600000</v>
      </c>
      <c r="AK212" s="97">
        <v>4</v>
      </c>
      <c r="AL212" s="20">
        <f t="shared" si="76"/>
        <v>484</v>
      </c>
      <c r="AM212" s="115">
        <f t="shared" si="77"/>
        <v>-1742400000</v>
      </c>
      <c r="AN212" s="20"/>
      <c r="AS212" t="s">
        <v>25</v>
      </c>
    </row>
    <row r="213" spans="7:46">
      <c r="G213" s="207" t="s">
        <v>5640</v>
      </c>
      <c r="H213" s="111">
        <v>21239029.173567999</v>
      </c>
      <c r="P213" s="112"/>
      <c r="Q213" s="19" t="s">
        <v>4944</v>
      </c>
      <c r="R213" s="19" t="s">
        <v>4939</v>
      </c>
      <c r="S213" s="115">
        <v>-400000</v>
      </c>
      <c r="T213" s="207" t="s">
        <v>4648</v>
      </c>
      <c r="U213" s="207">
        <v>38412</v>
      </c>
      <c r="V213" s="111">
        <v>239.03</v>
      </c>
      <c r="W213" s="111">
        <f t="shared" si="71"/>
        <v>9181620.3599999994</v>
      </c>
      <c r="X213" s="97" t="s">
        <v>744</v>
      </c>
      <c r="Y213" t="s">
        <v>25</v>
      </c>
      <c r="AH213" s="97">
        <v>193</v>
      </c>
      <c r="AI213" s="111" t="s">
        <v>5239</v>
      </c>
      <c r="AJ213" s="111">
        <v>-1000000</v>
      </c>
      <c r="AK213" s="97">
        <v>5</v>
      </c>
      <c r="AL213" s="20">
        <f t="shared" si="76"/>
        <v>480</v>
      </c>
      <c r="AM213" s="115">
        <f t="shared" si="77"/>
        <v>-480000000</v>
      </c>
      <c r="AN213" s="20"/>
      <c r="AR213" t="s">
        <v>25</v>
      </c>
    </row>
    <row r="214" spans="7:46">
      <c r="G214" s="207" t="s">
        <v>5643</v>
      </c>
      <c r="H214" s="111">
        <v>242957252.40163299</v>
      </c>
      <c r="J214" t="s">
        <v>25</v>
      </c>
      <c r="Q214" s="187" t="s">
        <v>5053</v>
      </c>
      <c r="R214" s="187" t="s">
        <v>4974</v>
      </c>
      <c r="S214" s="186">
        <v>-349550</v>
      </c>
      <c r="T214" s="207" t="s">
        <v>4648</v>
      </c>
      <c r="U214" s="207">
        <v>38412</v>
      </c>
      <c r="V214" s="111">
        <v>239.03</v>
      </c>
      <c r="W214" s="111">
        <f t="shared" si="71"/>
        <v>9181620.3599999994</v>
      </c>
      <c r="X214" s="97" t="s">
        <v>452</v>
      </c>
      <c r="AH214" s="97">
        <v>194</v>
      </c>
      <c r="AI214" s="111" t="s">
        <v>5244</v>
      </c>
      <c r="AJ214" s="111">
        <v>360000</v>
      </c>
      <c r="AK214" s="97">
        <v>2</v>
      </c>
      <c r="AL214" s="20">
        <f t="shared" ref="AL214:AL269" si="78">AL215+AK214</f>
        <v>475</v>
      </c>
      <c r="AM214" s="115">
        <f t="shared" ref="AM214:AM269" si="79">AJ214*AL214</f>
        <v>171000000</v>
      </c>
      <c r="AN214" s="20"/>
      <c r="AQ214" t="s">
        <v>25</v>
      </c>
    </row>
    <row r="215" spans="7:46">
      <c r="G215" s="207" t="s">
        <v>5647</v>
      </c>
      <c r="H215" s="111">
        <v>7357181.2750800001</v>
      </c>
      <c r="P215" s="112"/>
      <c r="Q215" s="19" t="s">
        <v>4944</v>
      </c>
      <c r="R215" s="19" t="s">
        <v>5114</v>
      </c>
      <c r="S215" s="115">
        <v>-200000</v>
      </c>
      <c r="T215" s="207" t="s">
        <v>4651</v>
      </c>
      <c r="U215" s="207">
        <v>49555</v>
      </c>
      <c r="V215" s="111">
        <v>238.345</v>
      </c>
      <c r="W215" s="111">
        <f t="shared" si="71"/>
        <v>11811186.475</v>
      </c>
      <c r="X215" s="97" t="s">
        <v>744</v>
      </c>
      <c r="AH215" s="97">
        <v>195</v>
      </c>
      <c r="AI215" s="111" t="s">
        <v>5249</v>
      </c>
      <c r="AJ215" s="111">
        <v>2000000</v>
      </c>
      <c r="AK215" s="97">
        <v>1</v>
      </c>
      <c r="AL215" s="20">
        <f t="shared" si="78"/>
        <v>473</v>
      </c>
      <c r="AM215" s="115">
        <f t="shared" si="79"/>
        <v>946000000</v>
      </c>
      <c r="AN215" s="20"/>
    </row>
    <row r="216" spans="7:46">
      <c r="G216" s="207" t="s">
        <v>5649</v>
      </c>
      <c r="H216" s="111">
        <v>14951411.942400001</v>
      </c>
      <c r="J216" t="s">
        <v>25</v>
      </c>
      <c r="Q216" s="19" t="s">
        <v>4944</v>
      </c>
      <c r="R216" s="19" t="s">
        <v>5146</v>
      </c>
      <c r="S216" s="115">
        <v>-122000</v>
      </c>
      <c r="T216" s="207" t="s">
        <v>4651</v>
      </c>
      <c r="U216" s="207">
        <v>49555</v>
      </c>
      <c r="V216" s="111">
        <v>238.345</v>
      </c>
      <c r="W216" s="111">
        <f t="shared" si="71"/>
        <v>11811186.475</v>
      </c>
      <c r="X216" s="97" t="s">
        <v>452</v>
      </c>
      <c r="AH216" s="97">
        <v>196</v>
      </c>
      <c r="AI216" s="111" t="s">
        <v>5251</v>
      </c>
      <c r="AJ216" s="111">
        <v>20000000</v>
      </c>
      <c r="AK216" s="97">
        <v>0</v>
      </c>
      <c r="AL216" s="20">
        <f t="shared" si="78"/>
        <v>472</v>
      </c>
      <c r="AM216" s="115">
        <f t="shared" si="79"/>
        <v>9440000000</v>
      </c>
      <c r="AN216" s="20" t="s">
        <v>4678</v>
      </c>
      <c r="AR216" t="s">
        <v>25</v>
      </c>
    </row>
    <row r="217" spans="7:46">
      <c r="G217" s="207" t="s">
        <v>5653</v>
      </c>
      <c r="H217" s="111">
        <v>47928209.377011999</v>
      </c>
      <c r="J217" t="s">
        <v>25</v>
      </c>
      <c r="Q217" s="19" t="s">
        <v>4944</v>
      </c>
      <c r="R217" s="19" t="s">
        <v>5154</v>
      </c>
      <c r="S217" s="115">
        <v>-700000</v>
      </c>
      <c r="T217" s="207" t="s">
        <v>4664</v>
      </c>
      <c r="U217" s="207">
        <v>160187</v>
      </c>
      <c r="V217" s="111">
        <v>257.49799999999999</v>
      </c>
      <c r="W217" s="111">
        <f t="shared" si="71"/>
        <v>41247832.126000002</v>
      </c>
      <c r="X217" s="97" t="s">
        <v>744</v>
      </c>
      <c r="Y217" t="s">
        <v>25</v>
      </c>
      <c r="AA217" t="s">
        <v>25</v>
      </c>
      <c r="AH217" s="97">
        <v>197</v>
      </c>
      <c r="AI217" s="111" t="s">
        <v>5251</v>
      </c>
      <c r="AJ217" s="111">
        <v>-4700000</v>
      </c>
      <c r="AK217" s="97">
        <v>1</v>
      </c>
      <c r="AL217" s="20">
        <f t="shared" si="78"/>
        <v>472</v>
      </c>
      <c r="AM217" s="115">
        <f t="shared" si="79"/>
        <v>-2218400000</v>
      </c>
      <c r="AN217" s="20"/>
    </row>
    <row r="218" spans="7:46">
      <c r="G218" s="207" t="s">
        <v>5655</v>
      </c>
      <c r="H218" s="111">
        <v>2281595.69937</v>
      </c>
      <c r="Q218" s="19" t="s">
        <v>4944</v>
      </c>
      <c r="R218" s="19" t="s">
        <v>5164</v>
      </c>
      <c r="S218" s="115">
        <v>-60000</v>
      </c>
      <c r="T218" s="207" t="s">
        <v>4664</v>
      </c>
      <c r="U218" s="207">
        <v>160187</v>
      </c>
      <c r="V218" s="111">
        <v>257.49799999999999</v>
      </c>
      <c r="W218" s="111">
        <f t="shared" si="71"/>
        <v>41247832.126000002</v>
      </c>
      <c r="X218" s="97" t="s">
        <v>452</v>
      </c>
      <c r="AH218" s="97">
        <v>198</v>
      </c>
      <c r="AI218" s="111" t="s">
        <v>5254</v>
      </c>
      <c r="AJ218" s="111">
        <v>3000000</v>
      </c>
      <c r="AK218" s="97">
        <v>4</v>
      </c>
      <c r="AL218" s="20">
        <f t="shared" si="78"/>
        <v>471</v>
      </c>
      <c r="AM218" s="115">
        <f t="shared" si="79"/>
        <v>1413000000</v>
      </c>
      <c r="AN218" s="20"/>
      <c r="AS218" t="s">
        <v>25</v>
      </c>
    </row>
    <row r="219" spans="7:46">
      <c r="G219" s="207" t="s">
        <v>5657</v>
      </c>
      <c r="H219" s="111">
        <v>2964916.035069</v>
      </c>
      <c r="P219" s="112"/>
      <c r="Q219" s="19" t="s">
        <v>4409</v>
      </c>
      <c r="R219" s="19" t="s">
        <v>5223</v>
      </c>
      <c r="S219" s="115">
        <v>700000</v>
      </c>
      <c r="T219" s="207" t="s">
        <v>4671</v>
      </c>
      <c r="U219" s="207">
        <v>144401</v>
      </c>
      <c r="V219" s="111">
        <v>258.5061</v>
      </c>
      <c r="W219" s="111">
        <f t="shared" si="71"/>
        <v>37328539.346100003</v>
      </c>
      <c r="X219" s="97" t="s">
        <v>744</v>
      </c>
      <c r="Z219" t="s">
        <v>25</v>
      </c>
      <c r="AH219" s="97">
        <v>199</v>
      </c>
      <c r="AI219" s="111" t="s">
        <v>5256</v>
      </c>
      <c r="AJ219" s="111">
        <v>1500000</v>
      </c>
      <c r="AK219" s="97">
        <v>1</v>
      </c>
      <c r="AL219" s="20">
        <f t="shared" si="78"/>
        <v>467</v>
      </c>
      <c r="AM219" s="115">
        <f t="shared" si="79"/>
        <v>700500000</v>
      </c>
      <c r="AN219" s="20"/>
    </row>
    <row r="220" spans="7:46">
      <c r="G220" s="207" t="s">
        <v>5658</v>
      </c>
      <c r="H220" s="111">
        <v>6460549.4269619994</v>
      </c>
      <c r="K220" t="s">
        <v>25</v>
      </c>
      <c r="P220" s="112"/>
      <c r="Q220" s="187" t="s">
        <v>1071</v>
      </c>
      <c r="R220" s="187" t="s">
        <v>5242</v>
      </c>
      <c r="S220" s="186">
        <v>40000000</v>
      </c>
      <c r="T220" s="207" t="s">
        <v>4671</v>
      </c>
      <c r="U220" s="207">
        <v>144401</v>
      </c>
      <c r="V220" s="111">
        <v>258.5061</v>
      </c>
      <c r="W220" s="111">
        <f t="shared" si="71"/>
        <v>37328539.346100003</v>
      </c>
      <c r="X220" s="97" t="s">
        <v>452</v>
      </c>
      <c r="AH220" s="97">
        <v>200</v>
      </c>
      <c r="AI220" s="111" t="s">
        <v>5258</v>
      </c>
      <c r="AJ220" s="111">
        <v>30000000</v>
      </c>
      <c r="AK220" s="97">
        <v>33</v>
      </c>
      <c r="AL220" s="20">
        <f t="shared" si="78"/>
        <v>466</v>
      </c>
      <c r="AM220" s="115">
        <f t="shared" si="79"/>
        <v>13980000000</v>
      </c>
      <c r="AN220" s="20"/>
    </row>
    <row r="221" spans="7:46">
      <c r="G221" s="207" t="s">
        <v>5660</v>
      </c>
      <c r="H221" s="111">
        <v>5212319.8968359996</v>
      </c>
      <c r="P221" s="112"/>
      <c r="Q221" s="19" t="s">
        <v>4409</v>
      </c>
      <c r="R221" s="19" t="s">
        <v>5246</v>
      </c>
      <c r="S221" s="115">
        <v>-800000</v>
      </c>
      <c r="T221" s="166" t="s">
        <v>4677</v>
      </c>
      <c r="U221" s="166">
        <v>196500</v>
      </c>
      <c r="V221" s="111">
        <v>254.452</v>
      </c>
      <c r="W221" s="111">
        <f t="shared" si="71"/>
        <v>49999818</v>
      </c>
      <c r="X221" s="97" t="s">
        <v>4680</v>
      </c>
      <c r="Y221" t="s">
        <v>25</v>
      </c>
      <c r="AH221" s="97">
        <v>201</v>
      </c>
      <c r="AI221" s="111" t="s">
        <v>5333</v>
      </c>
      <c r="AJ221" s="111">
        <v>3000000</v>
      </c>
      <c r="AK221" s="97">
        <v>1</v>
      </c>
      <c r="AL221" s="20">
        <f t="shared" si="78"/>
        <v>433</v>
      </c>
      <c r="AM221" s="115">
        <f t="shared" si="79"/>
        <v>1299000000</v>
      </c>
      <c r="AN221" s="20"/>
    </row>
    <row r="222" spans="7:46">
      <c r="G222" s="207" t="s">
        <v>5663</v>
      </c>
      <c r="H222" s="111">
        <v>4524496.4792809999</v>
      </c>
      <c r="J222" t="s">
        <v>25</v>
      </c>
      <c r="P222" s="112"/>
      <c r="Q222" s="207" t="s">
        <v>4409</v>
      </c>
      <c r="R222" s="207" t="s">
        <v>5329</v>
      </c>
      <c r="S222" s="115">
        <v>700000</v>
      </c>
      <c r="T222" s="207" t="s">
        <v>4677</v>
      </c>
      <c r="U222" s="207">
        <v>2561</v>
      </c>
      <c r="V222" s="111">
        <v>254.536</v>
      </c>
      <c r="W222" s="111">
        <f t="shared" si="71"/>
        <v>651866.696</v>
      </c>
      <c r="X222" s="97" t="s">
        <v>4681</v>
      </c>
      <c r="AA222" t="s">
        <v>25</v>
      </c>
      <c r="AH222" s="97">
        <v>202</v>
      </c>
      <c r="AI222" s="111" t="s">
        <v>5334</v>
      </c>
      <c r="AJ222" s="111">
        <v>7000000</v>
      </c>
      <c r="AK222" s="97">
        <v>4</v>
      </c>
      <c r="AL222" s="20">
        <f t="shared" si="78"/>
        <v>432</v>
      </c>
      <c r="AM222" s="115">
        <f t="shared" si="79"/>
        <v>3024000000</v>
      </c>
      <c r="AN222" s="20"/>
    </row>
    <row r="223" spans="7:46">
      <c r="G223" s="207" t="s">
        <v>5665</v>
      </c>
      <c r="H223" s="111">
        <v>22866040.240959998</v>
      </c>
      <c r="P223" s="112"/>
      <c r="Q223" s="187" t="s">
        <v>5346</v>
      </c>
      <c r="R223" s="187" t="s">
        <v>5344</v>
      </c>
      <c r="S223" s="186">
        <v>-26000000</v>
      </c>
      <c r="T223" s="207" t="s">
        <v>4721</v>
      </c>
      <c r="U223" s="207">
        <v>-11795</v>
      </c>
      <c r="V223" s="111">
        <v>254.334</v>
      </c>
      <c r="W223" s="111">
        <f t="shared" si="71"/>
        <v>-2999869.5300000003</v>
      </c>
      <c r="X223" s="97" t="s">
        <v>4722</v>
      </c>
      <c r="AH223" s="97">
        <v>203</v>
      </c>
      <c r="AI223" s="111" t="s">
        <v>5343</v>
      </c>
      <c r="AJ223" s="111">
        <v>8800000</v>
      </c>
      <c r="AK223" s="97">
        <v>2</v>
      </c>
      <c r="AL223" s="20">
        <f t="shared" si="78"/>
        <v>428</v>
      </c>
      <c r="AM223" s="115">
        <f t="shared" si="79"/>
        <v>3766400000</v>
      </c>
      <c r="AN223" s="20"/>
    </row>
    <row r="224" spans="7:46" ht="28.5" customHeight="1">
      <c r="G224" s="207" t="s">
        <v>5667</v>
      </c>
      <c r="H224" s="111">
        <v>15359304.269892</v>
      </c>
      <c r="J224" t="s">
        <v>25</v>
      </c>
      <c r="P224" s="112"/>
      <c r="Q224" s="187" t="s">
        <v>5346</v>
      </c>
      <c r="R224" s="187" t="s">
        <v>5348</v>
      </c>
      <c r="S224" s="186">
        <v>-95900000</v>
      </c>
      <c r="T224" s="207" t="s">
        <v>4721</v>
      </c>
      <c r="U224" s="207">
        <v>11795</v>
      </c>
      <c r="V224" s="111">
        <v>254.334</v>
      </c>
      <c r="W224" s="111">
        <f t="shared" si="71"/>
        <v>2999869.5300000003</v>
      </c>
      <c r="X224" s="97" t="s">
        <v>4723</v>
      </c>
      <c r="AH224" s="97">
        <v>204</v>
      </c>
      <c r="AI224" s="111" t="s">
        <v>5348</v>
      </c>
      <c r="AJ224" s="111">
        <v>40000000</v>
      </c>
      <c r="AK224" s="97">
        <v>8</v>
      </c>
      <c r="AL224" s="20">
        <f t="shared" si="78"/>
        <v>426</v>
      </c>
      <c r="AM224" s="115">
        <f t="shared" si="79"/>
        <v>17040000000</v>
      </c>
      <c r="AN224" s="20" t="s">
        <v>4678</v>
      </c>
    </row>
    <row r="225" spans="4:45">
      <c r="G225" s="207" t="s">
        <v>5669</v>
      </c>
      <c r="H225" s="111">
        <v>2868508.1846330003</v>
      </c>
      <c r="P225" s="112"/>
      <c r="Q225" s="187" t="s">
        <v>5346</v>
      </c>
      <c r="R225" s="187" t="s">
        <v>5349</v>
      </c>
      <c r="S225" s="186">
        <v>-28950000</v>
      </c>
      <c r="T225" s="207" t="s">
        <v>4735</v>
      </c>
      <c r="U225" s="207">
        <v>260</v>
      </c>
      <c r="V225" s="111">
        <v>263.19</v>
      </c>
      <c r="W225" s="111">
        <f t="shared" si="71"/>
        <v>68429.399999999994</v>
      </c>
      <c r="X225" s="97" t="s">
        <v>452</v>
      </c>
      <c r="AH225" s="97">
        <v>205</v>
      </c>
      <c r="AI225" s="111" t="s">
        <v>5363</v>
      </c>
      <c r="AJ225" s="111">
        <v>400000</v>
      </c>
      <c r="AK225" s="97">
        <v>17</v>
      </c>
      <c r="AL225" s="20">
        <f t="shared" si="78"/>
        <v>418</v>
      </c>
      <c r="AM225" s="115">
        <f t="shared" si="79"/>
        <v>167200000</v>
      </c>
      <c r="AN225" s="20"/>
      <c r="AR225" t="s">
        <v>25</v>
      </c>
    </row>
    <row r="226" spans="4:45">
      <c r="G226" s="207" t="s">
        <v>5670</v>
      </c>
      <c r="H226" s="111">
        <v>17450393.011856001</v>
      </c>
      <c r="P226" s="112"/>
      <c r="Q226" s="187" t="s">
        <v>5365</v>
      </c>
      <c r="R226" s="187" t="s">
        <v>5363</v>
      </c>
      <c r="S226" s="186">
        <v>1896188</v>
      </c>
      <c r="T226" s="207" t="s">
        <v>4744</v>
      </c>
      <c r="U226" s="207">
        <v>15257</v>
      </c>
      <c r="V226" s="111">
        <v>262.19018</v>
      </c>
      <c r="W226" s="111">
        <f t="shared" si="71"/>
        <v>4000235.57626</v>
      </c>
      <c r="X226" s="97" t="s">
        <v>452</v>
      </c>
      <c r="AH226" s="97">
        <v>206</v>
      </c>
      <c r="AI226" s="111" t="s">
        <v>5383</v>
      </c>
      <c r="AJ226" s="111">
        <v>-20000000</v>
      </c>
      <c r="AK226" s="97">
        <v>18</v>
      </c>
      <c r="AL226" s="20">
        <f t="shared" si="78"/>
        <v>401</v>
      </c>
      <c r="AM226" s="115">
        <f t="shared" si="79"/>
        <v>-8020000000</v>
      </c>
      <c r="AN226" s="20" t="s">
        <v>4969</v>
      </c>
    </row>
    <row r="227" spans="4:45">
      <c r="D227" s="94"/>
      <c r="E227" s="94"/>
      <c r="F227" s="94"/>
      <c r="G227" s="207" t="s">
        <v>5671</v>
      </c>
      <c r="H227" s="111">
        <v>31388943.254850004</v>
      </c>
      <c r="J227" t="s">
        <v>25</v>
      </c>
      <c r="P227" s="112"/>
      <c r="Q227" s="187" t="s">
        <v>5532</v>
      </c>
      <c r="R227" s="187" t="s">
        <v>4212</v>
      </c>
      <c r="S227" s="186">
        <v>13752871.322800001</v>
      </c>
      <c r="T227" s="207" t="s">
        <v>4744</v>
      </c>
      <c r="U227" s="207">
        <v>8444</v>
      </c>
      <c r="V227" s="111">
        <v>266.43029999999999</v>
      </c>
      <c r="W227" s="111">
        <f t="shared" si="71"/>
        <v>2249737.4531999999</v>
      </c>
      <c r="X227" s="97" t="s">
        <v>452</v>
      </c>
      <c r="AH227" s="97">
        <v>207</v>
      </c>
      <c r="AI227" s="111" t="s">
        <v>5397</v>
      </c>
      <c r="AJ227" s="111">
        <v>3006000</v>
      </c>
      <c r="AK227" s="97">
        <v>19</v>
      </c>
      <c r="AL227" s="20">
        <f t="shared" si="78"/>
        <v>383</v>
      </c>
      <c r="AM227" s="115">
        <f t="shared" si="79"/>
        <v>1151298000</v>
      </c>
      <c r="AN227" s="20"/>
    </row>
    <row r="228" spans="4:45">
      <c r="D228" s="94"/>
      <c r="E228" s="94"/>
      <c r="F228" s="94"/>
      <c r="G228" s="207" t="s">
        <v>5672</v>
      </c>
      <c r="H228" s="111">
        <v>30912095.373174001</v>
      </c>
      <c r="Q228" s="19" t="s">
        <v>5544</v>
      </c>
      <c r="R228" s="19" t="s">
        <v>5541</v>
      </c>
      <c r="S228" s="115">
        <v>3123901.3702000002</v>
      </c>
      <c r="T228" s="207" t="s">
        <v>4749</v>
      </c>
      <c r="U228" s="207">
        <v>-6209</v>
      </c>
      <c r="V228" s="111">
        <v>273.79649999999998</v>
      </c>
      <c r="W228" s="111">
        <f t="shared" si="71"/>
        <v>-1700002.4685</v>
      </c>
      <c r="X228" s="97" t="s">
        <v>4760</v>
      </c>
      <c r="AH228" s="97">
        <v>208</v>
      </c>
      <c r="AI228" s="111" t="s">
        <v>5295</v>
      </c>
      <c r="AJ228" s="111">
        <v>-130382924</v>
      </c>
      <c r="AK228" s="97">
        <v>0</v>
      </c>
      <c r="AL228" s="20">
        <f t="shared" si="78"/>
        <v>364</v>
      </c>
      <c r="AM228" s="115">
        <f t="shared" si="79"/>
        <v>-47459384336</v>
      </c>
      <c r="AN228" s="20" t="s">
        <v>5421</v>
      </c>
      <c r="AR228" t="s">
        <v>25</v>
      </c>
    </row>
    <row r="229" spans="4:45">
      <c r="D229" s="94"/>
      <c r="E229" s="94"/>
      <c r="F229" s="94"/>
      <c r="G229" s="207" t="s">
        <v>5674</v>
      </c>
      <c r="H229" s="111">
        <v>19602926.115093999</v>
      </c>
      <c r="K229" t="s">
        <v>25</v>
      </c>
      <c r="Q229" s="187" t="s">
        <v>5897</v>
      </c>
      <c r="R229" s="187" t="s">
        <v>5616</v>
      </c>
      <c r="S229" s="186">
        <v>-322076.40905199997</v>
      </c>
      <c r="T229" s="207" t="s">
        <v>4749</v>
      </c>
      <c r="U229" s="207">
        <v>-8014</v>
      </c>
      <c r="V229" s="111">
        <v>273.79649999999998</v>
      </c>
      <c r="W229" s="111">
        <f t="shared" si="71"/>
        <v>-2194205.1510000001</v>
      </c>
      <c r="X229" s="97" t="s">
        <v>744</v>
      </c>
      <c r="AH229" s="97">
        <v>209</v>
      </c>
      <c r="AI229" s="111" t="s">
        <v>5295</v>
      </c>
      <c r="AJ229" s="111">
        <v>125000000</v>
      </c>
      <c r="AK229" s="97">
        <v>1</v>
      </c>
      <c r="AL229" s="20">
        <f t="shared" si="78"/>
        <v>364</v>
      </c>
      <c r="AM229" s="115">
        <f t="shared" si="79"/>
        <v>45500000000</v>
      </c>
      <c r="AN229" s="20"/>
      <c r="AR229" t="s">
        <v>25</v>
      </c>
    </row>
    <row r="230" spans="4:45">
      <c r="D230" s="94"/>
      <c r="E230" s="94"/>
      <c r="F230" s="94"/>
      <c r="G230" s="207" t="s">
        <v>5678</v>
      </c>
      <c r="H230" s="111">
        <v>34458590.308710001</v>
      </c>
      <c r="P230" s="112"/>
      <c r="Q230" s="19" t="s">
        <v>4944</v>
      </c>
      <c r="R230" s="19" t="s">
        <v>5616</v>
      </c>
      <c r="S230" s="115">
        <v>-1500000</v>
      </c>
      <c r="T230" s="207" t="s">
        <v>4758</v>
      </c>
      <c r="U230" s="207">
        <v>-9176</v>
      </c>
      <c r="V230" s="111">
        <v>273.79649999999998</v>
      </c>
      <c r="W230" s="111">
        <f t="shared" si="71"/>
        <v>-2512356.6839999999</v>
      </c>
      <c r="X230" s="97" t="s">
        <v>452</v>
      </c>
      <c r="AH230" s="97">
        <v>210</v>
      </c>
      <c r="AI230" s="111" t="s">
        <v>5420</v>
      </c>
      <c r="AJ230" s="111">
        <v>7200000</v>
      </c>
      <c r="AK230" s="97">
        <v>15</v>
      </c>
      <c r="AL230" s="20">
        <f t="shared" si="78"/>
        <v>363</v>
      </c>
      <c r="AM230" s="115">
        <f t="shared" si="79"/>
        <v>2613600000</v>
      </c>
      <c r="AN230" s="20"/>
      <c r="AQ230" t="s">
        <v>25</v>
      </c>
      <c r="AS230" t="s">
        <v>25</v>
      </c>
    </row>
    <row r="231" spans="4:45">
      <c r="D231" s="94"/>
      <c r="E231" s="94"/>
      <c r="F231" s="94"/>
      <c r="G231" s="207" t="s">
        <v>5680</v>
      </c>
      <c r="H231" s="111">
        <v>21697868.203256</v>
      </c>
      <c r="P231" s="112"/>
      <c r="Q231" s="187" t="s">
        <v>5630</v>
      </c>
      <c r="R231" s="187" t="s">
        <v>5616</v>
      </c>
      <c r="S231" s="186">
        <v>15000000</v>
      </c>
      <c r="T231" s="207" t="s">
        <v>4758</v>
      </c>
      <c r="U231" s="207">
        <v>1087</v>
      </c>
      <c r="V231" s="111">
        <v>273.79649999999998</v>
      </c>
      <c r="W231" s="111">
        <f t="shared" si="71"/>
        <v>297616.79550000001</v>
      </c>
      <c r="X231" s="97" t="s">
        <v>452</v>
      </c>
      <c r="AH231" s="97">
        <v>211</v>
      </c>
      <c r="AI231" s="111" t="s">
        <v>5439</v>
      </c>
      <c r="AJ231" s="111">
        <v>2050000</v>
      </c>
      <c r="AK231" s="97">
        <v>7</v>
      </c>
      <c r="AL231" s="20">
        <f t="shared" si="78"/>
        <v>348</v>
      </c>
      <c r="AM231" s="115">
        <f t="shared" si="79"/>
        <v>713400000</v>
      </c>
      <c r="AN231" s="20"/>
      <c r="AR231" t="s">
        <v>25</v>
      </c>
      <c r="AS231" t="s">
        <v>25</v>
      </c>
    </row>
    <row r="232" spans="4:45">
      <c r="D232" s="94"/>
      <c r="E232" s="94"/>
      <c r="F232" s="94"/>
      <c r="G232" s="207" t="s">
        <v>5682</v>
      </c>
      <c r="H232" s="111">
        <v>25340079.252110001</v>
      </c>
      <c r="Q232" s="187" t="s">
        <v>5645</v>
      </c>
      <c r="R232" s="187" t="s">
        <v>5640</v>
      </c>
      <c r="S232" s="186">
        <v>-1500000</v>
      </c>
      <c r="T232" s="207" t="s">
        <v>966</v>
      </c>
      <c r="U232" s="207">
        <v>-4017</v>
      </c>
      <c r="V232" s="111">
        <v>273.79649999999998</v>
      </c>
      <c r="W232" s="111">
        <f t="shared" si="71"/>
        <v>-1099840.5404999999</v>
      </c>
      <c r="X232" s="97" t="s">
        <v>4409</v>
      </c>
      <c r="AH232" s="97">
        <v>212</v>
      </c>
      <c r="AI232" s="111" t="s">
        <v>5456</v>
      </c>
      <c r="AJ232" s="111">
        <v>50000000</v>
      </c>
      <c r="AK232" s="97">
        <v>24</v>
      </c>
      <c r="AL232" s="20">
        <f t="shared" si="78"/>
        <v>341</v>
      </c>
      <c r="AM232" s="115">
        <f t="shared" si="79"/>
        <v>17050000000</v>
      </c>
      <c r="AN232" s="20" t="s">
        <v>4678</v>
      </c>
    </row>
    <row r="233" spans="4:45">
      <c r="D233" s="94"/>
      <c r="E233" s="94"/>
      <c r="F233" s="94"/>
      <c r="G233" s="207" t="s">
        <v>5683</v>
      </c>
      <c r="H233" s="111">
        <v>14780983.183526</v>
      </c>
      <c r="Q233" s="187" t="s">
        <v>5727</v>
      </c>
      <c r="R233" s="187" t="s">
        <v>5724</v>
      </c>
      <c r="S233" s="186">
        <v>-70000</v>
      </c>
      <c r="T233" s="207" t="s">
        <v>966</v>
      </c>
      <c r="U233" s="207">
        <v>4017</v>
      </c>
      <c r="V233" s="111">
        <v>273.79649999999998</v>
      </c>
      <c r="W233" s="111">
        <f t="shared" si="71"/>
        <v>1099840.5404999999</v>
      </c>
      <c r="X233" s="97" t="s">
        <v>452</v>
      </c>
      <c r="AH233" s="97">
        <v>213</v>
      </c>
      <c r="AI233" s="111" t="s">
        <v>5492</v>
      </c>
      <c r="AJ233" s="111">
        <v>-58196600</v>
      </c>
      <c r="AK233" s="97">
        <v>22</v>
      </c>
      <c r="AL233" s="20">
        <f t="shared" si="78"/>
        <v>317</v>
      </c>
      <c r="AM233" s="115">
        <f t="shared" si="79"/>
        <v>-18448322200</v>
      </c>
      <c r="AN233" s="20" t="s">
        <v>4862</v>
      </c>
    </row>
    <row r="234" spans="4:45">
      <c r="G234" s="207" t="s">
        <v>5686</v>
      </c>
      <c r="H234" s="111">
        <v>17804396.448481999</v>
      </c>
      <c r="Q234" s="187" t="s">
        <v>5734</v>
      </c>
      <c r="R234" s="187" t="s">
        <v>5731</v>
      </c>
      <c r="S234" s="186">
        <v>1300000</v>
      </c>
      <c r="T234" s="207" t="s">
        <v>4765</v>
      </c>
      <c r="U234" s="207">
        <v>3137</v>
      </c>
      <c r="V234" s="111">
        <v>283.69110000000001</v>
      </c>
      <c r="W234" s="111">
        <f t="shared" si="71"/>
        <v>889938.98070000007</v>
      </c>
      <c r="X234" s="97" t="s">
        <v>452</v>
      </c>
      <c r="Y234" t="s">
        <v>25</v>
      </c>
      <c r="AH234" s="97">
        <v>214</v>
      </c>
      <c r="AI234" s="111" t="s">
        <v>5534</v>
      </c>
      <c r="AJ234" s="111">
        <v>25000</v>
      </c>
      <c r="AK234" s="97">
        <v>8</v>
      </c>
      <c r="AL234" s="20">
        <f t="shared" si="78"/>
        <v>295</v>
      </c>
      <c r="AM234" s="115">
        <f t="shared" si="79"/>
        <v>7375000</v>
      </c>
      <c r="AN234" s="20"/>
    </row>
    <row r="235" spans="4:45">
      <c r="G235" s="207" t="s">
        <v>5689</v>
      </c>
      <c r="H235" s="111">
        <v>11538335.631417999</v>
      </c>
      <c r="Q235" s="187" t="s">
        <v>60</v>
      </c>
      <c r="R235" s="187" t="s">
        <v>5743</v>
      </c>
      <c r="S235" s="186">
        <v>90000000</v>
      </c>
      <c r="T235" s="207" t="s">
        <v>4778</v>
      </c>
      <c r="U235" s="207">
        <v>101933</v>
      </c>
      <c r="V235" s="111">
        <v>294.30973999999998</v>
      </c>
      <c r="W235" s="111">
        <f t="shared" si="71"/>
        <v>29999874.727419998</v>
      </c>
      <c r="X235" s="97" t="s">
        <v>1071</v>
      </c>
      <c r="Y235" t="s">
        <v>25</v>
      </c>
      <c r="AH235" s="97">
        <v>215</v>
      </c>
      <c r="AI235" s="111" t="s">
        <v>5555</v>
      </c>
      <c r="AJ235" s="111">
        <v>70000</v>
      </c>
      <c r="AK235" s="97">
        <v>6</v>
      </c>
      <c r="AL235" s="20">
        <f t="shared" si="78"/>
        <v>287</v>
      </c>
      <c r="AM235" s="115">
        <f t="shared" si="79"/>
        <v>20090000</v>
      </c>
      <c r="AN235" s="20"/>
    </row>
    <row r="236" spans="4:45">
      <c r="G236" s="207" t="s">
        <v>5690</v>
      </c>
      <c r="H236" s="111">
        <v>12429517.767776001</v>
      </c>
      <c r="Q236" s="187" t="s">
        <v>5835</v>
      </c>
      <c r="R236" s="187" t="s">
        <v>5831</v>
      </c>
      <c r="S236" s="186">
        <v>33832510.64875</v>
      </c>
      <c r="T236" s="207" t="s">
        <v>4785</v>
      </c>
      <c r="U236" s="207">
        <v>3407</v>
      </c>
      <c r="V236" s="111">
        <v>293.43799999999999</v>
      </c>
      <c r="W236" s="111">
        <f t="shared" si="71"/>
        <v>999743.26599999995</v>
      </c>
      <c r="X236" s="97" t="s">
        <v>452</v>
      </c>
      <c r="AH236" s="97">
        <v>216</v>
      </c>
      <c r="AI236" s="111" t="s">
        <v>5560</v>
      </c>
      <c r="AJ236" s="111">
        <v>70000</v>
      </c>
      <c r="AK236" s="97">
        <v>1</v>
      </c>
      <c r="AL236" s="20">
        <f t="shared" si="78"/>
        <v>281</v>
      </c>
      <c r="AM236" s="115">
        <f t="shared" si="79"/>
        <v>19670000</v>
      </c>
      <c r="AN236" s="20"/>
      <c r="AR236" t="s">
        <v>25</v>
      </c>
    </row>
    <row r="237" spans="4:45">
      <c r="G237" s="207" t="s">
        <v>5698</v>
      </c>
      <c r="H237" s="111">
        <v>5031176.5087869996</v>
      </c>
      <c r="J237" t="s">
        <v>25</v>
      </c>
      <c r="Q237" s="187" t="s">
        <v>5862</v>
      </c>
      <c r="R237" s="187" t="s">
        <v>5858</v>
      </c>
      <c r="S237" s="186">
        <v>21634932</v>
      </c>
      <c r="T237" s="207" t="s">
        <v>4786</v>
      </c>
      <c r="U237" s="207">
        <v>68796</v>
      </c>
      <c r="V237" s="111">
        <v>293.53250000000003</v>
      </c>
      <c r="W237" s="111">
        <f t="shared" si="71"/>
        <v>20193861.870000001</v>
      </c>
      <c r="X237" s="97" t="s">
        <v>744</v>
      </c>
      <c r="AH237" s="97">
        <v>217</v>
      </c>
      <c r="AI237" s="111" t="s">
        <v>5549</v>
      </c>
      <c r="AJ237" s="111">
        <v>150000</v>
      </c>
      <c r="AK237" s="97">
        <v>0</v>
      </c>
      <c r="AL237" s="20">
        <f t="shared" si="78"/>
        <v>280</v>
      </c>
      <c r="AM237" s="115">
        <f t="shared" si="79"/>
        <v>42000000</v>
      </c>
      <c r="AN237" s="20"/>
      <c r="AQ237" t="s">
        <v>25</v>
      </c>
      <c r="AS237" t="s">
        <v>25</v>
      </c>
    </row>
    <row r="238" spans="4:45">
      <c r="G238" s="207" t="s">
        <v>5700</v>
      </c>
      <c r="H238" s="111">
        <v>6822803.9080700008</v>
      </c>
      <c r="J238" t="s">
        <v>25</v>
      </c>
      <c r="Q238" s="187" t="s">
        <v>4737</v>
      </c>
      <c r="R238" s="187" t="s">
        <v>5858</v>
      </c>
      <c r="S238" s="186">
        <v>-22520813.151772</v>
      </c>
      <c r="T238" s="207" t="s">
        <v>4786</v>
      </c>
      <c r="U238" s="207">
        <v>154791</v>
      </c>
      <c r="V238" s="111">
        <v>293.53250000000003</v>
      </c>
      <c r="W238" s="111">
        <f t="shared" si="71"/>
        <v>45436189.207500003</v>
      </c>
      <c r="X238" s="97" t="s">
        <v>452</v>
      </c>
      <c r="AH238" s="97">
        <v>218</v>
      </c>
      <c r="AI238" s="111" t="s">
        <v>5549</v>
      </c>
      <c r="AJ238" s="111">
        <v>-95599450</v>
      </c>
      <c r="AK238" s="97">
        <v>7</v>
      </c>
      <c r="AL238" s="20">
        <f t="shared" si="78"/>
        <v>280</v>
      </c>
      <c r="AM238" s="115">
        <f t="shared" si="79"/>
        <v>-26767846000</v>
      </c>
      <c r="AN238" s="20" t="s">
        <v>5563</v>
      </c>
      <c r="AR238" t="s">
        <v>25</v>
      </c>
    </row>
    <row r="239" spans="4:45">
      <c r="G239" s="207" t="s">
        <v>5704</v>
      </c>
      <c r="H239" s="111">
        <v>330889.73324399994</v>
      </c>
      <c r="Q239" s="19" t="s">
        <v>6447</v>
      </c>
      <c r="R239" s="19" t="s">
        <v>6444</v>
      </c>
      <c r="S239" s="115">
        <v>-6000000</v>
      </c>
      <c r="T239" s="207" t="s">
        <v>4786</v>
      </c>
      <c r="U239" s="207">
        <v>-11923</v>
      </c>
      <c r="V239" s="111">
        <v>293.53250000000003</v>
      </c>
      <c r="W239" s="111">
        <f t="shared" si="71"/>
        <v>-3499787.9975000005</v>
      </c>
      <c r="X239" s="97" t="s">
        <v>452</v>
      </c>
      <c r="AH239" s="97">
        <v>219</v>
      </c>
      <c r="AI239" s="111" t="s">
        <v>5571</v>
      </c>
      <c r="AJ239" s="111">
        <v>200000</v>
      </c>
      <c r="AK239" s="97">
        <v>7</v>
      </c>
      <c r="AL239" s="20">
        <f t="shared" si="78"/>
        <v>273</v>
      </c>
      <c r="AM239" s="115">
        <f t="shared" si="79"/>
        <v>54600000</v>
      </c>
      <c r="AN239" s="20"/>
      <c r="AR239" t="s">
        <v>25</v>
      </c>
    </row>
    <row r="240" spans="4:45">
      <c r="G240" s="207" t="s">
        <v>5713</v>
      </c>
      <c r="H240" s="111">
        <v>6610318.1610199995</v>
      </c>
      <c r="Q240" s="187" t="s">
        <v>5381</v>
      </c>
      <c r="R240" s="187" t="s">
        <v>6548</v>
      </c>
      <c r="S240" s="186">
        <v>130888.351165</v>
      </c>
      <c r="T240" s="207" t="s">
        <v>4798</v>
      </c>
      <c r="U240" s="207">
        <v>8424</v>
      </c>
      <c r="V240" s="111">
        <v>299.15170000000001</v>
      </c>
      <c r="W240" s="111">
        <f t="shared" si="71"/>
        <v>2520053.9208</v>
      </c>
      <c r="X240" s="97" t="s">
        <v>452</v>
      </c>
      <c r="AH240" s="97">
        <v>220</v>
      </c>
      <c r="AI240" s="111" t="s">
        <v>5576</v>
      </c>
      <c r="AJ240" s="111">
        <v>150000</v>
      </c>
      <c r="AK240" s="97">
        <v>5</v>
      </c>
      <c r="AL240" s="20">
        <f t="shared" si="78"/>
        <v>266</v>
      </c>
      <c r="AM240" s="115">
        <f t="shared" si="79"/>
        <v>39900000</v>
      </c>
      <c r="AN240" s="20"/>
    </row>
    <row r="241" spans="7:46">
      <c r="G241" s="207" t="s">
        <v>5714</v>
      </c>
      <c r="H241" s="111">
        <v>710713.17725199996</v>
      </c>
      <c r="Q241" s="187" t="s">
        <v>6666</v>
      </c>
      <c r="R241" s="187" t="s">
        <v>6662</v>
      </c>
      <c r="S241" s="186">
        <v>50000000</v>
      </c>
      <c r="T241" s="207" t="s">
        <v>4833</v>
      </c>
      <c r="U241" s="207">
        <v>15943</v>
      </c>
      <c r="V241" s="111">
        <v>307.34415000000001</v>
      </c>
      <c r="W241" s="111">
        <f t="shared" si="71"/>
        <v>4899987.78345</v>
      </c>
      <c r="X241" s="97" t="s">
        <v>452</v>
      </c>
      <c r="AH241" s="97">
        <v>221</v>
      </c>
      <c r="AI241" s="111" t="s">
        <v>5580</v>
      </c>
      <c r="AJ241" s="111">
        <v>310000</v>
      </c>
      <c r="AK241" s="97">
        <v>31</v>
      </c>
      <c r="AL241" s="20">
        <f t="shared" si="78"/>
        <v>261</v>
      </c>
      <c r="AM241" s="115">
        <f t="shared" si="79"/>
        <v>80910000</v>
      </c>
      <c r="AN241" s="20"/>
      <c r="AR241" t="s">
        <v>25</v>
      </c>
    </row>
    <row r="242" spans="7:46">
      <c r="G242" s="207" t="s">
        <v>5716</v>
      </c>
      <c r="H242" s="111">
        <v>81025</v>
      </c>
      <c r="P242" t="s">
        <v>25</v>
      </c>
      <c r="Q242" s="19"/>
      <c r="R242" s="19"/>
      <c r="S242" s="115"/>
      <c r="T242" s="207" t="s">
        <v>4848</v>
      </c>
      <c r="U242" s="207">
        <v>3741</v>
      </c>
      <c r="V242" s="111">
        <v>307.34415000000001</v>
      </c>
      <c r="W242" s="111">
        <f t="shared" si="71"/>
        <v>1149774.4651500001</v>
      </c>
      <c r="X242" s="97" t="s">
        <v>452</v>
      </c>
      <c r="Z242" t="s">
        <v>25</v>
      </c>
      <c r="AH242" s="97">
        <v>222</v>
      </c>
      <c r="AI242" s="111" t="s">
        <v>5616</v>
      </c>
      <c r="AJ242" s="111">
        <v>4200000</v>
      </c>
      <c r="AK242" s="97">
        <v>53</v>
      </c>
      <c r="AL242" s="20">
        <f t="shared" si="78"/>
        <v>230</v>
      </c>
      <c r="AM242" s="115">
        <f t="shared" si="79"/>
        <v>966000000</v>
      </c>
      <c r="AN242" s="20"/>
      <c r="AT242" s="94" t="s">
        <v>25</v>
      </c>
    </row>
    <row r="243" spans="7:46">
      <c r="G243" s="207" t="s">
        <v>5719</v>
      </c>
      <c r="H243" s="111">
        <v>219696.613128</v>
      </c>
      <c r="Q243" s="19"/>
      <c r="R243" s="19"/>
      <c r="S243" s="115"/>
      <c r="T243" s="207" t="s">
        <v>4853</v>
      </c>
      <c r="U243" s="207">
        <v>-6207</v>
      </c>
      <c r="V243" s="111">
        <v>322.214</v>
      </c>
      <c r="W243" s="111">
        <f t="shared" si="71"/>
        <v>-1999982.298</v>
      </c>
      <c r="X243" s="97" t="s">
        <v>744</v>
      </c>
      <c r="AH243" s="97">
        <v>223</v>
      </c>
      <c r="AI243" s="111" t="s">
        <v>5686</v>
      </c>
      <c r="AJ243" s="111">
        <v>260000000</v>
      </c>
      <c r="AK243" s="97">
        <v>22</v>
      </c>
      <c r="AL243" s="20">
        <f t="shared" si="78"/>
        <v>177</v>
      </c>
      <c r="AM243" s="115">
        <f t="shared" si="79"/>
        <v>46020000000</v>
      </c>
      <c r="AN243" s="20" t="s">
        <v>5687</v>
      </c>
    </row>
    <row r="244" spans="7:46">
      <c r="G244" s="207" t="s">
        <v>5720</v>
      </c>
      <c r="H244" s="111">
        <v>6035472.4070199998</v>
      </c>
      <c r="Q244" s="207" t="s">
        <v>25</v>
      </c>
      <c r="R244" s="207"/>
      <c r="S244" s="111"/>
      <c r="T244" s="207" t="s">
        <v>4853</v>
      </c>
      <c r="U244" s="207">
        <v>6207</v>
      </c>
      <c r="V244" s="111">
        <v>322.214</v>
      </c>
      <c r="W244" s="111">
        <f t="shared" si="71"/>
        <v>1999982.298</v>
      </c>
      <c r="X244" s="97" t="s">
        <v>4409</v>
      </c>
      <c r="AH244" s="97">
        <v>224</v>
      </c>
      <c r="AI244" s="111" t="s">
        <v>5714</v>
      </c>
      <c r="AJ244" s="111">
        <v>20000</v>
      </c>
      <c r="AK244" s="97">
        <v>7</v>
      </c>
      <c r="AL244" s="20">
        <f t="shared" si="78"/>
        <v>155</v>
      </c>
      <c r="AM244" s="115">
        <f t="shared" si="79"/>
        <v>3100000</v>
      </c>
      <c r="AN244" s="20"/>
      <c r="AP244" t="s">
        <v>25</v>
      </c>
    </row>
    <row r="245" spans="7:46">
      <c r="G245" s="207" t="s">
        <v>5722</v>
      </c>
      <c r="H245" s="111">
        <v>984486.34963200008</v>
      </c>
      <c r="Q245" s="207"/>
      <c r="R245" s="207"/>
      <c r="S245" s="111">
        <f>SUM(S200:S244)</f>
        <v>160856957.13209102</v>
      </c>
      <c r="T245" s="207" t="s">
        <v>4805</v>
      </c>
      <c r="U245" s="207">
        <v>776</v>
      </c>
      <c r="V245" s="111">
        <v>322.214</v>
      </c>
      <c r="W245" s="111">
        <f t="shared" si="71"/>
        <v>250038.06400000001</v>
      </c>
      <c r="X245" s="97" t="s">
        <v>452</v>
      </c>
      <c r="AH245" s="97">
        <v>225</v>
      </c>
      <c r="AI245" s="111" t="s">
        <v>5724</v>
      </c>
      <c r="AJ245" s="111">
        <v>70000</v>
      </c>
      <c r="AK245" s="97">
        <v>1</v>
      </c>
      <c r="AL245" s="20">
        <f t="shared" si="78"/>
        <v>148</v>
      </c>
      <c r="AM245" s="115">
        <f t="shared" si="79"/>
        <v>10360000</v>
      </c>
      <c r="AN245" s="20"/>
    </row>
    <row r="246" spans="7:46">
      <c r="G246" s="207" t="s">
        <v>5724</v>
      </c>
      <c r="H246" s="111">
        <v>2143469.938015</v>
      </c>
      <c r="Q246" s="41"/>
      <c r="R246" s="207"/>
      <c r="S246" s="207" t="s">
        <v>6</v>
      </c>
      <c r="T246" s="207" t="s">
        <v>4875</v>
      </c>
      <c r="U246" s="207">
        <v>1524</v>
      </c>
      <c r="V246" s="111">
        <v>314.95999999999998</v>
      </c>
      <c r="W246" s="111">
        <f t="shared" si="71"/>
        <v>479999.04</v>
      </c>
      <c r="X246" s="97" t="s">
        <v>1071</v>
      </c>
      <c r="AH246" s="97">
        <v>226</v>
      </c>
      <c r="AI246" s="111" t="s">
        <v>5731</v>
      </c>
      <c r="AJ246" s="111">
        <v>330000</v>
      </c>
      <c r="AK246" s="97">
        <v>1</v>
      </c>
      <c r="AL246" s="20">
        <f t="shared" si="78"/>
        <v>147</v>
      </c>
      <c r="AM246" s="115">
        <f t="shared" si="79"/>
        <v>48510000</v>
      </c>
      <c r="AN246" s="20"/>
    </row>
    <row r="247" spans="7:46">
      <c r="G247" s="207" t="s">
        <v>5736</v>
      </c>
      <c r="H247" s="111">
        <v>3085460.5177150001</v>
      </c>
      <c r="Q247" s="94"/>
      <c r="T247" s="207" t="s">
        <v>4882</v>
      </c>
      <c r="U247" s="207">
        <v>4435</v>
      </c>
      <c r="V247" s="111">
        <v>316.4375</v>
      </c>
      <c r="W247" s="111">
        <f t="shared" si="71"/>
        <v>1403400.3125</v>
      </c>
      <c r="X247" s="97" t="s">
        <v>452</v>
      </c>
      <c r="AH247" s="97">
        <v>227</v>
      </c>
      <c r="AI247" s="111" t="s">
        <v>5831</v>
      </c>
      <c r="AJ247" s="111">
        <v>33833075</v>
      </c>
      <c r="AK247" s="97">
        <v>18</v>
      </c>
      <c r="AL247" s="20">
        <f t="shared" si="78"/>
        <v>146</v>
      </c>
      <c r="AM247" s="115">
        <f t="shared" si="79"/>
        <v>4939628950</v>
      </c>
      <c r="AN247" s="20" t="s">
        <v>5835</v>
      </c>
    </row>
    <row r="248" spans="7:46">
      <c r="G248" s="207" t="s">
        <v>5738</v>
      </c>
      <c r="H248" s="111">
        <v>8261456.790906</v>
      </c>
      <c r="P248" t="s">
        <v>25</v>
      </c>
      <c r="Q248" s="94" t="s">
        <v>25</v>
      </c>
      <c r="R248" s="94" t="s">
        <v>25</v>
      </c>
      <c r="T248" s="207" t="s">
        <v>4885</v>
      </c>
      <c r="U248" s="207">
        <v>624</v>
      </c>
      <c r="V248" s="111">
        <v>320.5</v>
      </c>
      <c r="W248" s="111">
        <f t="shared" si="71"/>
        <v>199992</v>
      </c>
      <c r="X248" s="97" t="s">
        <v>452</v>
      </c>
      <c r="AH248" s="97">
        <v>228</v>
      </c>
      <c r="AI248" s="111" t="s">
        <v>5848</v>
      </c>
      <c r="AJ248" s="111">
        <v>150000</v>
      </c>
      <c r="AK248" s="97">
        <v>10</v>
      </c>
      <c r="AL248" s="20">
        <f t="shared" si="78"/>
        <v>128</v>
      </c>
      <c r="AM248" s="115"/>
      <c r="AN248" s="20"/>
    </row>
    <row r="249" spans="7:46">
      <c r="G249" s="207" t="s">
        <v>5740</v>
      </c>
      <c r="H249" s="111">
        <v>6572373.7593120001</v>
      </c>
      <c r="K249" t="s">
        <v>25</v>
      </c>
      <c r="Q249" s="94" t="s">
        <v>25</v>
      </c>
      <c r="R249" s="94" t="s">
        <v>25</v>
      </c>
      <c r="S249" t="s">
        <v>25</v>
      </c>
      <c r="T249" s="207" t="s">
        <v>4890</v>
      </c>
      <c r="U249" s="207">
        <v>1086</v>
      </c>
      <c r="V249" s="111">
        <v>317.55</v>
      </c>
      <c r="W249" s="111">
        <f t="shared" si="71"/>
        <v>344859.3</v>
      </c>
      <c r="X249" s="97" t="s">
        <v>452</v>
      </c>
      <c r="AH249" s="97">
        <v>229</v>
      </c>
      <c r="AI249" s="111" t="s">
        <v>5858</v>
      </c>
      <c r="AJ249" s="111">
        <v>-341847876.93843603</v>
      </c>
      <c r="AK249" s="97">
        <v>1</v>
      </c>
      <c r="AL249" s="20">
        <f t="shared" si="78"/>
        <v>118</v>
      </c>
      <c r="AM249" s="115"/>
      <c r="AN249" s="20" t="s">
        <v>4737</v>
      </c>
      <c r="AP249" t="s">
        <v>25</v>
      </c>
    </row>
    <row r="250" spans="7:46" ht="20.25" customHeight="1">
      <c r="G250" s="207" t="s">
        <v>5745</v>
      </c>
      <c r="H250" s="111">
        <v>2893243.5730909999</v>
      </c>
      <c r="S250" t="s">
        <v>25</v>
      </c>
      <c r="T250" s="207" t="s">
        <v>4895</v>
      </c>
      <c r="U250" s="207">
        <v>2820</v>
      </c>
      <c r="V250" s="111">
        <v>319.1096</v>
      </c>
      <c r="W250" s="111">
        <f t="shared" si="71"/>
        <v>899889.07200000004</v>
      </c>
      <c r="X250" s="97" t="s">
        <v>452</v>
      </c>
      <c r="AH250" s="97">
        <v>230</v>
      </c>
      <c r="AI250" s="111" t="s">
        <v>5870</v>
      </c>
      <c r="AJ250" s="111">
        <v>100000000</v>
      </c>
      <c r="AK250" s="97">
        <v>0</v>
      </c>
      <c r="AL250" s="20">
        <f t="shared" si="78"/>
        <v>117</v>
      </c>
      <c r="AM250" s="115"/>
      <c r="AN250" s="20" t="s">
        <v>5871</v>
      </c>
    </row>
    <row r="251" spans="7:46" ht="30">
      <c r="G251" s="207" t="s">
        <v>5747</v>
      </c>
      <c r="H251" s="111">
        <v>94992058.939007998</v>
      </c>
      <c r="J251" t="s">
        <v>25</v>
      </c>
      <c r="O251" t="s">
        <v>25</v>
      </c>
      <c r="Q251" s="97" t="s">
        <v>744</v>
      </c>
      <c r="R251" s="97"/>
      <c r="S251" t="s">
        <v>25</v>
      </c>
      <c r="T251" s="207" t="s">
        <v>4898</v>
      </c>
      <c r="U251" s="207">
        <v>1145</v>
      </c>
      <c r="V251" s="111">
        <v>325.44</v>
      </c>
      <c r="W251" s="111">
        <f t="shared" si="71"/>
        <v>372628.8</v>
      </c>
      <c r="X251" s="97" t="s">
        <v>452</v>
      </c>
      <c r="Y251" t="s">
        <v>25</v>
      </c>
      <c r="AH251" s="97">
        <v>231</v>
      </c>
      <c r="AI251" s="111" t="s">
        <v>5870</v>
      </c>
      <c r="AJ251" s="111">
        <v>-100000000</v>
      </c>
      <c r="AK251" s="97">
        <v>1</v>
      </c>
      <c r="AL251" s="20">
        <f t="shared" si="78"/>
        <v>117</v>
      </c>
      <c r="AM251" s="115"/>
      <c r="AN251" s="263" t="s">
        <v>5872</v>
      </c>
    </row>
    <row r="252" spans="7:46">
      <c r="G252" s="207" t="s">
        <v>5753</v>
      </c>
      <c r="H252" s="111">
        <v>275021.925965</v>
      </c>
      <c r="K252" t="s">
        <v>25</v>
      </c>
      <c r="Q252" s="97" t="s">
        <v>4402</v>
      </c>
      <c r="R252" s="93">
        <v>172908000</v>
      </c>
      <c r="S252" t="s">
        <v>25</v>
      </c>
      <c r="T252" s="207" t="s">
        <v>4906</v>
      </c>
      <c r="U252" s="207">
        <v>20153</v>
      </c>
      <c r="V252" s="111">
        <v>322</v>
      </c>
      <c r="W252" s="111">
        <f t="shared" si="71"/>
        <v>6489266</v>
      </c>
      <c r="X252" s="97" t="s">
        <v>452</v>
      </c>
      <c r="AH252" s="97">
        <v>232</v>
      </c>
      <c r="AI252" s="111" t="s">
        <v>5873</v>
      </c>
      <c r="AJ252" s="111">
        <v>90000000</v>
      </c>
      <c r="AK252" s="97">
        <v>0</v>
      </c>
      <c r="AL252" s="20">
        <f t="shared" si="78"/>
        <v>116</v>
      </c>
      <c r="AM252" s="115"/>
      <c r="AN252" s="20"/>
    </row>
    <row r="253" spans="7:46" ht="30">
      <c r="G253" s="207" t="s">
        <v>5760</v>
      </c>
      <c r="H253" s="111">
        <v>327451.9203</v>
      </c>
      <c r="Q253" s="97" t="s">
        <v>4435</v>
      </c>
      <c r="R253" s="93">
        <v>1400000</v>
      </c>
      <c r="T253" s="207" t="s">
        <v>4916</v>
      </c>
      <c r="U253" s="207">
        <v>93720</v>
      </c>
      <c r="V253" s="111">
        <v>325.435</v>
      </c>
      <c r="W253" s="111">
        <f t="shared" si="71"/>
        <v>30499768.199999999</v>
      </c>
      <c r="X253" s="97" t="s">
        <v>1071</v>
      </c>
      <c r="AH253" s="97">
        <v>233</v>
      </c>
      <c r="AI253" s="111" t="s">
        <v>5873</v>
      </c>
      <c r="AJ253" s="111">
        <v>-90000000</v>
      </c>
      <c r="AK253" s="97">
        <v>1</v>
      </c>
      <c r="AL253" s="20">
        <f t="shared" si="78"/>
        <v>116</v>
      </c>
      <c r="AM253" s="115"/>
      <c r="AN253" s="263" t="s">
        <v>5874</v>
      </c>
      <c r="AQ253" t="s">
        <v>25</v>
      </c>
      <c r="AS253" t="s">
        <v>25</v>
      </c>
    </row>
    <row r="254" spans="7:46">
      <c r="G254" s="207" t="s">
        <v>5772</v>
      </c>
      <c r="H254" s="111">
        <v>260081.94096800001</v>
      </c>
      <c r="O254" t="s">
        <v>25</v>
      </c>
      <c r="Q254" s="97" t="s">
        <v>4208</v>
      </c>
      <c r="R254" s="93">
        <v>247393</v>
      </c>
      <c r="S254" t="s">
        <v>25</v>
      </c>
      <c r="T254" s="207" t="s">
        <v>4916</v>
      </c>
      <c r="U254" s="207">
        <v>20895</v>
      </c>
      <c r="V254" s="111">
        <v>325.435</v>
      </c>
      <c r="W254" s="111">
        <f t="shared" si="71"/>
        <v>6799964.3250000002</v>
      </c>
      <c r="X254" s="97" t="s">
        <v>744</v>
      </c>
      <c r="AH254" s="97">
        <v>234</v>
      </c>
      <c r="AI254" s="111" t="s">
        <v>5875</v>
      </c>
      <c r="AJ254" s="111">
        <v>30000000</v>
      </c>
      <c r="AK254" s="97">
        <v>0</v>
      </c>
      <c r="AL254" s="20">
        <f t="shared" si="78"/>
        <v>115</v>
      </c>
      <c r="AM254" s="115"/>
      <c r="AN254" s="263"/>
    </row>
    <row r="255" spans="7:46" ht="30">
      <c r="G255" s="207" t="s">
        <v>5781</v>
      </c>
      <c r="H255" s="111">
        <v>2909284.5308940001</v>
      </c>
      <c r="P255" t="s">
        <v>25</v>
      </c>
      <c r="Q255" s="97" t="s">
        <v>4207</v>
      </c>
      <c r="R255" s="93">
        <v>6780000</v>
      </c>
      <c r="T255" s="207" t="s">
        <v>4923</v>
      </c>
      <c r="U255" s="207">
        <v>2611</v>
      </c>
      <c r="V255" s="111">
        <v>325.435</v>
      </c>
      <c r="W255" s="111">
        <f t="shared" si="71"/>
        <v>849710.78500000003</v>
      </c>
      <c r="X255" s="97" t="s">
        <v>744</v>
      </c>
      <c r="AA255" t="s">
        <v>25</v>
      </c>
      <c r="AH255" s="97">
        <v>235</v>
      </c>
      <c r="AI255" s="111" t="s">
        <v>5875</v>
      </c>
      <c r="AJ255" s="111">
        <v>-30000000</v>
      </c>
      <c r="AK255" s="97">
        <v>3</v>
      </c>
      <c r="AL255" s="20">
        <f t="shared" si="78"/>
        <v>115</v>
      </c>
      <c r="AM255" s="115"/>
      <c r="AN255" s="263" t="s">
        <v>5876</v>
      </c>
    </row>
    <row r="256" spans="7:46">
      <c r="G256" s="207" t="s">
        <v>5782</v>
      </c>
      <c r="H256" s="111">
        <v>37723205.094084002</v>
      </c>
      <c r="Q256" s="97" t="s">
        <v>4533</v>
      </c>
      <c r="R256" s="93">
        <v>-4000000</v>
      </c>
      <c r="T256" s="207" t="s">
        <v>4931</v>
      </c>
      <c r="U256" s="207">
        <v>6750</v>
      </c>
      <c r="V256" s="111">
        <v>339.3</v>
      </c>
      <c r="W256" s="111">
        <f t="shared" si="71"/>
        <v>2290275</v>
      </c>
      <c r="X256" s="97" t="s">
        <v>744</v>
      </c>
      <c r="AH256" s="97">
        <v>236</v>
      </c>
      <c r="AI256" s="111" t="s">
        <v>5891</v>
      </c>
      <c r="AJ256" s="111">
        <v>50000000</v>
      </c>
      <c r="AK256" s="97">
        <v>1</v>
      </c>
      <c r="AL256" s="20">
        <f t="shared" si="78"/>
        <v>112</v>
      </c>
      <c r="AM256" s="115"/>
      <c r="AN256" s="263"/>
    </row>
    <row r="257" spans="7:45" ht="30">
      <c r="G257" s="207" t="s">
        <v>5783</v>
      </c>
      <c r="H257" s="111">
        <v>1500094.75168</v>
      </c>
      <c r="Q257" s="97" t="s">
        <v>4558</v>
      </c>
      <c r="R257" s="93">
        <v>16727037</v>
      </c>
      <c r="T257" s="207" t="s">
        <v>4939</v>
      </c>
      <c r="U257" s="207">
        <v>1850</v>
      </c>
      <c r="V257" s="111">
        <v>334.10050000000001</v>
      </c>
      <c r="W257" s="111">
        <f t="shared" si="71"/>
        <v>618085.92500000005</v>
      </c>
      <c r="X257" s="97" t="s">
        <v>452</v>
      </c>
      <c r="Y257" t="s">
        <v>25</v>
      </c>
      <c r="AH257" s="97">
        <v>237</v>
      </c>
      <c r="AI257" s="111" t="s">
        <v>5893</v>
      </c>
      <c r="AJ257" s="111">
        <v>-50000000</v>
      </c>
      <c r="AK257" s="97">
        <v>5</v>
      </c>
      <c r="AL257" s="20">
        <f t="shared" si="78"/>
        <v>111</v>
      </c>
      <c r="AM257" s="115"/>
      <c r="AN257" s="263" t="s">
        <v>5894</v>
      </c>
      <c r="AP257" t="s">
        <v>25</v>
      </c>
    </row>
    <row r="258" spans="7:45">
      <c r="G258" s="207" t="s">
        <v>5784</v>
      </c>
      <c r="H258" s="111">
        <v>7230628.4378079996</v>
      </c>
      <c r="J258" t="s">
        <v>25</v>
      </c>
      <c r="P258" t="s">
        <v>25</v>
      </c>
      <c r="Q258" s="97" t="s">
        <v>4563</v>
      </c>
      <c r="R258" s="93">
        <v>46460683</v>
      </c>
      <c r="S258" t="s">
        <v>25</v>
      </c>
      <c r="T258" s="207" t="s">
        <v>4939</v>
      </c>
      <c r="U258" s="207">
        <v>-1194</v>
      </c>
      <c r="V258" s="111">
        <v>335</v>
      </c>
      <c r="W258" s="111">
        <f t="shared" si="71"/>
        <v>-399990</v>
      </c>
      <c r="X258" s="97" t="s">
        <v>4409</v>
      </c>
      <c r="Y258" t="s">
        <v>25</v>
      </c>
      <c r="AH258" s="97">
        <v>238</v>
      </c>
      <c r="AI258" s="111" t="s">
        <v>6426</v>
      </c>
      <c r="AJ258" s="111">
        <v>10000</v>
      </c>
      <c r="AK258" s="97">
        <v>1</v>
      </c>
      <c r="AL258" s="20">
        <f t="shared" si="78"/>
        <v>106</v>
      </c>
      <c r="AM258" s="115"/>
      <c r="AN258" s="263"/>
    </row>
    <row r="259" spans="7:45" ht="15" customHeight="1">
      <c r="G259" s="207" t="s">
        <v>5786</v>
      </c>
      <c r="H259" s="111">
        <v>29767389.390390001</v>
      </c>
      <c r="Q259" s="97" t="s">
        <v>4564</v>
      </c>
      <c r="R259" s="93">
        <v>19663646</v>
      </c>
      <c r="T259" s="207" t="s">
        <v>4939</v>
      </c>
      <c r="U259" s="207">
        <v>1194</v>
      </c>
      <c r="V259" s="111">
        <v>335</v>
      </c>
      <c r="W259" s="111">
        <f t="shared" si="71"/>
        <v>399990</v>
      </c>
      <c r="X259" s="97" t="s">
        <v>744</v>
      </c>
      <c r="AH259" s="97">
        <v>239</v>
      </c>
      <c r="AI259" s="111" t="s">
        <v>6429</v>
      </c>
      <c r="AJ259" s="111">
        <v>50000000</v>
      </c>
      <c r="AK259" s="97">
        <v>43</v>
      </c>
      <c r="AL259" s="20">
        <f t="shared" si="78"/>
        <v>105</v>
      </c>
      <c r="AM259" s="115"/>
      <c r="AN259" s="263" t="s">
        <v>5351</v>
      </c>
    </row>
    <row r="260" spans="7:45">
      <c r="G260" s="207" t="s">
        <v>5788</v>
      </c>
      <c r="H260" s="111">
        <v>151560.25597</v>
      </c>
      <c r="Q260" s="97" t="s">
        <v>4585</v>
      </c>
      <c r="R260" s="93">
        <v>4374525</v>
      </c>
      <c r="T260" s="207" t="s">
        <v>4946</v>
      </c>
      <c r="U260" s="207">
        <v>433</v>
      </c>
      <c r="V260" s="111">
        <v>345.68</v>
      </c>
      <c r="W260" s="111">
        <f t="shared" si="71"/>
        <v>149679.44</v>
      </c>
      <c r="X260" s="97" t="s">
        <v>744</v>
      </c>
      <c r="AH260" s="97">
        <v>240</v>
      </c>
      <c r="AI260" s="111" t="s">
        <v>6495</v>
      </c>
      <c r="AJ260" s="111">
        <v>50000000</v>
      </c>
      <c r="AK260" s="97">
        <v>10</v>
      </c>
      <c r="AL260" s="20">
        <f t="shared" si="78"/>
        <v>62</v>
      </c>
      <c r="AM260" s="115"/>
      <c r="AN260" s="263" t="s">
        <v>6496</v>
      </c>
    </row>
    <row r="261" spans="7:45">
      <c r="G261" s="207" t="s">
        <v>5789</v>
      </c>
      <c r="H261" s="111">
        <v>481318.88078800001</v>
      </c>
      <c r="J261" t="s">
        <v>25</v>
      </c>
      <c r="Q261" s="97" t="s">
        <v>4596</v>
      </c>
      <c r="R261" s="93">
        <v>6550580</v>
      </c>
      <c r="T261" s="207" t="s">
        <v>4950</v>
      </c>
      <c r="U261" s="207">
        <v>55459</v>
      </c>
      <c r="V261" s="111">
        <v>362.51978000000003</v>
      </c>
      <c r="W261" s="111">
        <f t="shared" si="71"/>
        <v>20104984.479020003</v>
      </c>
      <c r="X261" s="97" t="s">
        <v>452</v>
      </c>
      <c r="AH261" s="97">
        <v>241</v>
      </c>
      <c r="AI261" s="111" t="s">
        <v>6499</v>
      </c>
      <c r="AJ261" s="111">
        <v>8200000</v>
      </c>
      <c r="AK261" s="97">
        <v>29</v>
      </c>
      <c r="AL261" s="20">
        <f t="shared" si="78"/>
        <v>52</v>
      </c>
      <c r="AM261" s="115"/>
      <c r="AN261" s="263" t="s">
        <v>6496</v>
      </c>
      <c r="AR261" t="s">
        <v>25</v>
      </c>
      <c r="AS261" t="s">
        <v>25</v>
      </c>
    </row>
    <row r="262" spans="7:45">
      <c r="G262" s="207" t="s">
        <v>5792</v>
      </c>
      <c r="H262" s="111">
        <v>146277.56820000001</v>
      </c>
      <c r="P262" t="s">
        <v>25</v>
      </c>
      <c r="Q262" s="97" t="s">
        <v>4598</v>
      </c>
      <c r="R262" s="93">
        <v>6650895</v>
      </c>
      <c r="T262" s="207" t="s">
        <v>4954</v>
      </c>
      <c r="U262" s="207">
        <v>-57212</v>
      </c>
      <c r="V262" s="111">
        <v>368.45400000000001</v>
      </c>
      <c r="W262" s="111">
        <f t="shared" si="71"/>
        <v>-21079990.248</v>
      </c>
      <c r="X262" s="97" t="s">
        <v>452</v>
      </c>
      <c r="AH262" s="97">
        <v>242</v>
      </c>
      <c r="AI262" s="111" t="s">
        <v>6542</v>
      </c>
      <c r="AJ262" s="111">
        <v>-180000000</v>
      </c>
      <c r="AK262" s="97">
        <v>16</v>
      </c>
      <c r="AL262" s="20">
        <f t="shared" si="78"/>
        <v>23</v>
      </c>
      <c r="AM262" s="115"/>
      <c r="AN262" s="263" t="s">
        <v>6546</v>
      </c>
    </row>
    <row r="263" spans="7:45" ht="17.25" customHeight="1">
      <c r="G263" s="207" t="s">
        <v>5804</v>
      </c>
      <c r="H263" s="111">
        <v>424693.40162399999</v>
      </c>
      <c r="J263" t="s">
        <v>25</v>
      </c>
      <c r="Q263" s="97" t="s">
        <v>4614</v>
      </c>
      <c r="R263" s="93">
        <v>2145814</v>
      </c>
      <c r="T263" s="207" t="s">
        <v>4955</v>
      </c>
      <c r="U263" s="207">
        <v>-15881</v>
      </c>
      <c r="V263" s="111">
        <v>374.61599999999999</v>
      </c>
      <c r="W263" s="111">
        <f t="shared" si="71"/>
        <v>-5949276.6959999995</v>
      </c>
      <c r="X263" s="97" t="s">
        <v>452</v>
      </c>
      <c r="AH263" s="97">
        <v>243</v>
      </c>
      <c r="AI263" s="111" t="s">
        <v>6662</v>
      </c>
      <c r="AJ263" s="111">
        <v>60000000</v>
      </c>
      <c r="AK263" s="97">
        <v>6</v>
      </c>
      <c r="AL263" s="20">
        <f t="shared" si="78"/>
        <v>7</v>
      </c>
      <c r="AM263" s="115"/>
      <c r="AN263" s="263" t="s">
        <v>6663</v>
      </c>
      <c r="AS263" t="s">
        <v>25</v>
      </c>
    </row>
    <row r="264" spans="7:45">
      <c r="G264" s="207" t="s">
        <v>5807</v>
      </c>
      <c r="H264" s="111">
        <v>558320.40202399995</v>
      </c>
      <c r="J264" t="s">
        <v>25</v>
      </c>
      <c r="Q264" s="97" t="s">
        <v>4625</v>
      </c>
      <c r="R264" s="93">
        <v>4369730</v>
      </c>
      <c r="T264" s="207" t="s">
        <v>4961</v>
      </c>
      <c r="U264" s="207">
        <v>-41289</v>
      </c>
      <c r="V264" s="111">
        <v>372.27</v>
      </c>
      <c r="W264" s="111">
        <f t="shared" si="71"/>
        <v>-15370656.029999999</v>
      </c>
      <c r="X264" s="97" t="s">
        <v>452</v>
      </c>
      <c r="AH264" s="97">
        <v>244</v>
      </c>
      <c r="AI264" s="111" t="s">
        <v>6676</v>
      </c>
      <c r="AJ264" s="111">
        <v>5000</v>
      </c>
      <c r="AK264" s="97">
        <v>1</v>
      </c>
      <c r="AL264" s="20">
        <f t="shared" si="78"/>
        <v>1</v>
      </c>
      <c r="AM264" s="115"/>
      <c r="AN264" s="263" t="s">
        <v>6496</v>
      </c>
    </row>
    <row r="265" spans="7:45">
      <c r="G265" s="207" t="s">
        <v>5809</v>
      </c>
      <c r="H265" s="111">
        <v>207642.22201140001</v>
      </c>
      <c r="J265" t="s">
        <v>25</v>
      </c>
      <c r="Q265" s="97" t="s">
        <v>4627</v>
      </c>
      <c r="R265" s="93">
        <v>8739459</v>
      </c>
      <c r="S265" t="s">
        <v>25</v>
      </c>
      <c r="T265" s="207" t="s">
        <v>4967</v>
      </c>
      <c r="U265" s="207">
        <v>13563</v>
      </c>
      <c r="V265" s="111">
        <v>365.69799999999998</v>
      </c>
      <c r="W265" s="111">
        <f t="shared" si="71"/>
        <v>4959961.9739999995</v>
      </c>
      <c r="X265" s="97" t="s">
        <v>452</v>
      </c>
      <c r="AH265" s="97"/>
      <c r="AI265" s="111"/>
      <c r="AJ265" s="111"/>
      <c r="AK265" s="97"/>
      <c r="AL265" s="20">
        <f t="shared" si="78"/>
        <v>0</v>
      </c>
      <c r="AM265" s="115"/>
      <c r="AN265" s="20"/>
    </row>
    <row r="266" spans="7:45">
      <c r="G266" s="284" t="s">
        <v>5846</v>
      </c>
      <c r="H266" s="88">
        <v>637977.33504399995</v>
      </c>
      <c r="Q266" s="97" t="s">
        <v>4636</v>
      </c>
      <c r="R266" s="93">
        <v>6667654</v>
      </c>
      <c r="T266" s="207" t="s">
        <v>4967</v>
      </c>
      <c r="U266" s="207">
        <v>27344</v>
      </c>
      <c r="V266" s="111">
        <v>365.69799999999998</v>
      </c>
      <c r="W266" s="111">
        <f t="shared" si="71"/>
        <v>9999646.1119999997</v>
      </c>
      <c r="X266" s="97" t="s">
        <v>452</v>
      </c>
      <c r="AH266" s="97"/>
      <c r="AI266" s="111"/>
      <c r="AJ266" s="111"/>
      <c r="AK266" s="97"/>
      <c r="AL266" s="20">
        <f t="shared" si="78"/>
        <v>0</v>
      </c>
      <c r="AM266" s="115"/>
      <c r="AN266" s="20"/>
    </row>
    <row r="267" spans="7:45" ht="20.25" customHeight="1">
      <c r="G267" s="207" t="s">
        <v>5847</v>
      </c>
      <c r="H267" s="111">
        <v>466552.25632400002</v>
      </c>
      <c r="Q267" s="97" t="s">
        <v>4644</v>
      </c>
      <c r="R267" s="93">
        <v>8981245</v>
      </c>
      <c r="T267" s="207" t="s">
        <v>4974</v>
      </c>
      <c r="U267" s="207">
        <v>-103145</v>
      </c>
      <c r="V267" s="111">
        <v>393.334</v>
      </c>
      <c r="W267" s="111">
        <f t="shared" si="71"/>
        <v>-40570435.43</v>
      </c>
      <c r="X267" s="36" t="s">
        <v>4979</v>
      </c>
      <c r="AH267" s="97"/>
      <c r="AI267" s="111"/>
      <c r="AJ267" s="111"/>
      <c r="AK267" s="97"/>
      <c r="AL267" s="20">
        <f t="shared" si="78"/>
        <v>0</v>
      </c>
      <c r="AM267" s="115"/>
      <c r="AN267" s="20"/>
      <c r="AS267" t="s">
        <v>25</v>
      </c>
    </row>
    <row r="268" spans="7:45">
      <c r="G268" s="207" t="s">
        <v>5848</v>
      </c>
      <c r="H268" s="111">
        <v>189134.85153000001</v>
      </c>
      <c r="J268" t="s">
        <v>25</v>
      </c>
      <c r="Q268" s="97" t="s">
        <v>4648</v>
      </c>
      <c r="R268" s="93">
        <v>9181756</v>
      </c>
      <c r="T268" s="207" t="s">
        <v>4974</v>
      </c>
      <c r="U268" s="207">
        <v>-369</v>
      </c>
      <c r="V268" s="111">
        <v>393.334</v>
      </c>
      <c r="W268" s="111">
        <f t="shared" si="71"/>
        <v>-145140.24600000001</v>
      </c>
      <c r="X268" s="36" t="s">
        <v>5051</v>
      </c>
      <c r="AH268" s="97"/>
      <c r="AI268" s="111"/>
      <c r="AJ268" s="111">
        <v>0</v>
      </c>
      <c r="AK268" s="97"/>
      <c r="AL268" s="20">
        <f t="shared" si="78"/>
        <v>0</v>
      </c>
      <c r="AM268" s="115">
        <f t="shared" si="79"/>
        <v>0</v>
      </c>
      <c r="AN268" s="20"/>
    </row>
    <row r="269" spans="7:45" ht="21.75" customHeight="1">
      <c r="G269" s="207" t="s">
        <v>5852</v>
      </c>
      <c r="H269" s="111">
        <v>564888.82799599995</v>
      </c>
      <c r="Q269" s="97" t="s">
        <v>4651</v>
      </c>
      <c r="R269" s="93">
        <v>11811208</v>
      </c>
      <c r="S269" t="s">
        <v>25</v>
      </c>
      <c r="T269" s="207" t="s">
        <v>4974</v>
      </c>
      <c r="U269" s="207">
        <v>-889</v>
      </c>
      <c r="V269" s="111">
        <v>393.334</v>
      </c>
      <c r="W269" s="111">
        <f t="shared" si="71"/>
        <v>-349673.92599999998</v>
      </c>
      <c r="X269" s="36" t="s">
        <v>5052</v>
      </c>
      <c r="AH269" s="97"/>
      <c r="AI269" s="111"/>
      <c r="AJ269" s="111"/>
      <c r="AK269" s="97">
        <v>0</v>
      </c>
      <c r="AL269" s="20">
        <f t="shared" si="78"/>
        <v>0</v>
      </c>
      <c r="AM269" s="115">
        <f t="shared" si="79"/>
        <v>0</v>
      </c>
      <c r="AN269" s="20"/>
    </row>
    <row r="270" spans="7:45">
      <c r="G270" s="207" t="s">
        <v>5891</v>
      </c>
      <c r="H270" s="111">
        <v>259993.58394100002</v>
      </c>
      <c r="J270" t="s">
        <v>25</v>
      </c>
      <c r="Q270" s="97" t="s">
        <v>4664</v>
      </c>
      <c r="R270" s="93">
        <v>41248054</v>
      </c>
      <c r="S270" t="s">
        <v>25</v>
      </c>
      <c r="T270" s="207" t="s">
        <v>4983</v>
      </c>
      <c r="U270" s="207">
        <v>2546</v>
      </c>
      <c r="V270" s="111">
        <v>393</v>
      </c>
      <c r="W270" s="111">
        <f t="shared" si="71"/>
        <v>1000578</v>
      </c>
      <c r="X270" s="36" t="s">
        <v>452</v>
      </c>
      <c r="AH270" s="97"/>
      <c r="AI270" s="97"/>
      <c r="AJ270" s="93">
        <f>SUM(AJ20:AJ269)</f>
        <v>426685949.06156397</v>
      </c>
      <c r="AK270" s="97"/>
      <c r="AL270" s="97">
        <v>0</v>
      </c>
      <c r="AM270" s="93">
        <f>SUM(AM20:AM269)</f>
        <v>517198925372</v>
      </c>
      <c r="AN270" s="93">
        <f>AM270*AN273/31</f>
        <v>278069499.65081048</v>
      </c>
    </row>
    <row r="271" spans="7:45">
      <c r="G271" s="207" t="s">
        <v>5893</v>
      </c>
      <c r="H271" s="111">
        <v>269955.31205999997</v>
      </c>
      <c r="Q271" s="97" t="s">
        <v>4671</v>
      </c>
      <c r="R271" s="93">
        <v>37328780</v>
      </c>
      <c r="T271" s="207" t="s">
        <v>4984</v>
      </c>
      <c r="U271" s="207">
        <v>1034</v>
      </c>
      <c r="V271" s="111">
        <v>386.608</v>
      </c>
      <c r="W271" s="111">
        <f t="shared" si="71"/>
        <v>399752.67200000002</v>
      </c>
      <c r="X271" s="36" t="s">
        <v>452</v>
      </c>
      <c r="AH271" s="97"/>
      <c r="AI271" s="97"/>
      <c r="AJ271" s="97" t="s">
        <v>4043</v>
      </c>
      <c r="AK271" s="97"/>
      <c r="AL271" s="97"/>
      <c r="AM271" s="97" t="s">
        <v>284</v>
      </c>
      <c r="AN271" s="97" t="s">
        <v>928</v>
      </c>
      <c r="AR271" t="s">
        <v>25</v>
      </c>
    </row>
    <row r="272" spans="7:45">
      <c r="G272" s="207" t="s">
        <v>6435</v>
      </c>
      <c r="H272" s="111">
        <v>560534.38387200003</v>
      </c>
      <c r="Q272" s="97" t="s">
        <v>4749</v>
      </c>
      <c r="R272" s="93">
        <v>-2194100</v>
      </c>
      <c r="T272" s="207" t="s">
        <v>4991</v>
      </c>
      <c r="U272" s="207">
        <v>300</v>
      </c>
      <c r="V272" s="111">
        <v>400</v>
      </c>
      <c r="W272" s="111">
        <f t="shared" si="71"/>
        <v>120000</v>
      </c>
      <c r="X272" s="36" t="s">
        <v>452</v>
      </c>
      <c r="AH272" s="97"/>
      <c r="AI272" s="97"/>
      <c r="AJ272" s="97"/>
      <c r="AK272" s="97"/>
      <c r="AL272" s="97"/>
      <c r="AM272" s="97"/>
      <c r="AN272" s="97"/>
    </row>
    <row r="273" spans="7:40">
      <c r="G273" s="207" t="s">
        <v>6441</v>
      </c>
      <c r="H273" s="111">
        <v>581484.96802499995</v>
      </c>
      <c r="Q273" s="97" t="s">
        <v>4786</v>
      </c>
      <c r="R273" s="93">
        <v>20193916</v>
      </c>
      <c r="T273" s="207" t="s">
        <v>4999</v>
      </c>
      <c r="U273" s="207">
        <v>782</v>
      </c>
      <c r="V273" s="111">
        <v>409</v>
      </c>
      <c r="W273" s="111">
        <f t="shared" si="71"/>
        <v>319838</v>
      </c>
      <c r="X273" s="36" t="s">
        <v>744</v>
      </c>
      <c r="AH273" s="97"/>
      <c r="AI273" s="97"/>
      <c r="AJ273" s="97"/>
      <c r="AK273" s="97"/>
      <c r="AL273" s="97"/>
      <c r="AM273" s="97" t="s">
        <v>4044</v>
      </c>
      <c r="AN273" s="97">
        <v>1.6667000000000001E-2</v>
      </c>
    </row>
    <row r="274" spans="7:40">
      <c r="G274" s="207" t="s">
        <v>6444</v>
      </c>
      <c r="H274" s="111">
        <v>2136964.3409779998</v>
      </c>
      <c r="J274" t="s">
        <v>25</v>
      </c>
      <c r="Q274" s="97" t="s">
        <v>4853</v>
      </c>
      <c r="R274" s="93">
        <v>-2000000</v>
      </c>
      <c r="T274" s="207" t="s">
        <v>5003</v>
      </c>
      <c r="U274" s="207">
        <v>1220</v>
      </c>
      <c r="V274" s="111">
        <v>409.9</v>
      </c>
      <c r="W274" s="111">
        <f t="shared" si="71"/>
        <v>500078</v>
      </c>
      <c r="X274" s="36" t="s">
        <v>744</v>
      </c>
      <c r="AH274" s="97"/>
      <c r="AI274" s="97"/>
      <c r="AJ274" s="97"/>
      <c r="AK274" s="97"/>
      <c r="AL274" s="97"/>
      <c r="AM274" s="97"/>
      <c r="AN274" s="97"/>
    </row>
    <row r="275" spans="7:40">
      <c r="G275" s="207" t="s">
        <v>6448</v>
      </c>
      <c r="H275" s="111">
        <v>593783.22629999998</v>
      </c>
      <c r="J275" t="s">
        <v>25</v>
      </c>
      <c r="Q275" s="97" t="s">
        <v>4916</v>
      </c>
      <c r="R275" s="93">
        <v>6800000</v>
      </c>
      <c r="S275" t="s">
        <v>25</v>
      </c>
      <c r="T275" s="207" t="s">
        <v>5005</v>
      </c>
      <c r="U275" s="207">
        <v>1285</v>
      </c>
      <c r="V275" s="111">
        <v>388.84</v>
      </c>
      <c r="W275" s="111">
        <f t="shared" si="71"/>
        <v>499659.39999999997</v>
      </c>
      <c r="X275" s="36" t="s">
        <v>452</v>
      </c>
      <c r="AH275" s="97"/>
      <c r="AI275" s="97" t="s">
        <v>4045</v>
      </c>
      <c r="AJ275" s="93">
        <f>AJ270+AN270</f>
        <v>704755448.71237445</v>
      </c>
      <c r="AK275" s="97"/>
      <c r="AL275" s="97"/>
      <c r="AM275" s="97"/>
      <c r="AN275" s="97"/>
    </row>
    <row r="276" spans="7:40">
      <c r="G276" s="207" t="s">
        <v>6452</v>
      </c>
      <c r="H276" s="111">
        <v>469469.96222000004</v>
      </c>
      <c r="J276" t="s">
        <v>25</v>
      </c>
      <c r="K276" t="s">
        <v>25</v>
      </c>
      <c r="Q276" s="97" t="s">
        <v>4923</v>
      </c>
      <c r="R276" s="93">
        <v>850000</v>
      </c>
      <c r="T276" s="207" t="s">
        <v>4996</v>
      </c>
      <c r="U276" s="207">
        <v>1924</v>
      </c>
      <c r="V276" s="111">
        <v>386.69600000000003</v>
      </c>
      <c r="W276" s="111">
        <f t="shared" si="71"/>
        <v>744003.10400000005</v>
      </c>
      <c r="X276" s="36" t="s">
        <v>452</v>
      </c>
      <c r="AI276" t="s">
        <v>4048</v>
      </c>
      <c r="AJ276" s="112">
        <f>SUM(N44:N54)</f>
        <v>6706264662</v>
      </c>
      <c r="AM276" t="s">
        <v>25</v>
      </c>
    </row>
    <row r="277" spans="7:40">
      <c r="G277" s="207" t="s">
        <v>6500</v>
      </c>
      <c r="H277" s="111">
        <v>15777944</v>
      </c>
      <c r="Q277" s="97" t="s">
        <v>4931</v>
      </c>
      <c r="R277" s="93">
        <v>2290500</v>
      </c>
      <c r="T277" s="207" t="s">
        <v>5021</v>
      </c>
      <c r="U277" s="207">
        <v>165</v>
      </c>
      <c r="V277" s="111">
        <v>393.5</v>
      </c>
      <c r="W277" s="111">
        <f t="shared" si="71"/>
        <v>64927.5</v>
      </c>
      <c r="X277" s="36" t="s">
        <v>452</v>
      </c>
      <c r="AI277" t="s">
        <v>4118</v>
      </c>
      <c r="AJ277" s="112">
        <f>AJ276-AJ270</f>
        <v>6279578712.9384365</v>
      </c>
      <c r="AM277" t="s">
        <v>25</v>
      </c>
    </row>
    <row r="278" spans="7:40" ht="30">
      <c r="G278" s="207" t="s">
        <v>6509</v>
      </c>
      <c r="H278" s="111">
        <v>3585319.2317280001</v>
      </c>
      <c r="J278" t="s">
        <v>25</v>
      </c>
      <c r="K278" t="s">
        <v>25</v>
      </c>
      <c r="Q278" s="97" t="s">
        <v>4939</v>
      </c>
      <c r="R278" s="93">
        <v>400000</v>
      </c>
      <c r="S278" t="s">
        <v>25</v>
      </c>
      <c r="T278" s="207" t="s">
        <v>5026</v>
      </c>
      <c r="U278" s="207">
        <v>-34859</v>
      </c>
      <c r="V278" s="111">
        <v>403.1585</v>
      </c>
      <c r="W278" s="111">
        <f t="shared" si="71"/>
        <v>-14053702.1515</v>
      </c>
      <c r="X278" s="36" t="s">
        <v>5029</v>
      </c>
      <c r="AI278" t="s">
        <v>928</v>
      </c>
      <c r="AJ278" s="112">
        <f>AN270</f>
        <v>278069499.65081048</v>
      </c>
      <c r="AN278" t="s">
        <v>25</v>
      </c>
    </row>
    <row r="279" spans="7:40">
      <c r="G279" s="207" t="s">
        <v>6512</v>
      </c>
      <c r="H279" s="111">
        <v>676700.69889600005</v>
      </c>
      <c r="J279" t="s">
        <v>25</v>
      </c>
      <c r="Q279" s="97" t="s">
        <v>4946</v>
      </c>
      <c r="R279" s="93">
        <v>150000</v>
      </c>
      <c r="T279" s="207" t="s">
        <v>4997</v>
      </c>
      <c r="U279" s="207">
        <v>8476</v>
      </c>
      <c r="V279" s="111">
        <v>419.49900000000002</v>
      </c>
      <c r="W279" s="111">
        <f t="shared" si="71"/>
        <v>3555673.5240000002</v>
      </c>
      <c r="X279" s="36" t="s">
        <v>5035</v>
      </c>
      <c r="AI279" t="s">
        <v>4049</v>
      </c>
      <c r="AJ279" s="112">
        <f>AJ276-AJ275</f>
        <v>6001509213.2876253</v>
      </c>
      <c r="AN279" t="s">
        <v>25</v>
      </c>
    </row>
    <row r="280" spans="7:40">
      <c r="G280" s="207" t="s">
        <v>6522</v>
      </c>
      <c r="H280" s="111">
        <v>1105777.5430340001</v>
      </c>
      <c r="J280" t="s">
        <v>25</v>
      </c>
      <c r="Q280" s="97" t="s">
        <v>4974</v>
      </c>
      <c r="R280" s="93">
        <v>-144950</v>
      </c>
      <c r="T280" s="207" t="s">
        <v>5047</v>
      </c>
      <c r="U280" s="207">
        <v>903</v>
      </c>
      <c r="V280" s="111">
        <v>442.77379999999999</v>
      </c>
      <c r="W280" s="111">
        <f t="shared" si="71"/>
        <v>399824.7414</v>
      </c>
      <c r="X280" s="36" t="s">
        <v>744</v>
      </c>
      <c r="AM280" t="s">
        <v>25</v>
      </c>
    </row>
    <row r="281" spans="7:40">
      <c r="G281" s="207" t="s">
        <v>6526</v>
      </c>
      <c r="H281" s="111">
        <v>2315234.8602510002</v>
      </c>
      <c r="Q281" s="97" t="s">
        <v>4999</v>
      </c>
      <c r="R281" s="93">
        <v>320000</v>
      </c>
      <c r="T281" s="207" t="s">
        <v>5050</v>
      </c>
      <c r="U281" s="207">
        <v>113</v>
      </c>
      <c r="V281" s="111">
        <v>442.48200000000003</v>
      </c>
      <c r="W281" s="111">
        <f t="shared" ref="W281:W362" si="80">U281*V281</f>
        <v>50000.466</v>
      </c>
      <c r="X281" s="36" t="s">
        <v>744</v>
      </c>
      <c r="AJ281" t="s">
        <v>25</v>
      </c>
    </row>
    <row r="282" spans="7:40">
      <c r="G282" s="207" t="s">
        <v>6528</v>
      </c>
      <c r="H282" s="111">
        <v>4136360.6541840001</v>
      </c>
      <c r="J282" t="s">
        <v>25</v>
      </c>
      <c r="Q282" s="97" t="s">
        <v>5003</v>
      </c>
      <c r="R282" s="93">
        <v>500000</v>
      </c>
      <c r="S282" t="s">
        <v>25</v>
      </c>
      <c r="T282" s="207" t="s">
        <v>5060</v>
      </c>
      <c r="U282" s="207">
        <v>671</v>
      </c>
      <c r="V282" s="111">
        <v>447</v>
      </c>
      <c r="W282" s="111">
        <f t="shared" si="80"/>
        <v>299937</v>
      </c>
      <c r="X282" s="36" t="s">
        <v>744</v>
      </c>
    </row>
    <row r="283" spans="7:40">
      <c r="G283" s="207" t="s">
        <v>6531</v>
      </c>
      <c r="H283" s="111">
        <v>3035714.4702960001</v>
      </c>
      <c r="O283" t="s">
        <v>25</v>
      </c>
      <c r="Q283" s="97" t="s">
        <v>5047</v>
      </c>
      <c r="R283" s="93">
        <v>400000</v>
      </c>
      <c r="S283" t="s">
        <v>25</v>
      </c>
      <c r="T283" s="207" t="s">
        <v>5062</v>
      </c>
      <c r="U283" s="207">
        <v>7</v>
      </c>
      <c r="V283" s="111">
        <v>465.31200000000001</v>
      </c>
      <c r="W283" s="111">
        <f t="shared" si="80"/>
        <v>3257.1840000000002</v>
      </c>
      <c r="X283" s="36" t="s">
        <v>452</v>
      </c>
    </row>
    <row r="284" spans="7:40">
      <c r="G284" s="207" t="s">
        <v>6542</v>
      </c>
      <c r="H284" s="111">
        <v>93814</v>
      </c>
      <c r="Q284" s="97" t="s">
        <v>5050</v>
      </c>
      <c r="R284" s="93">
        <v>50000</v>
      </c>
      <c r="S284" t="s">
        <v>25</v>
      </c>
      <c r="T284" s="207" t="s">
        <v>5066</v>
      </c>
      <c r="U284" s="207">
        <v>12950</v>
      </c>
      <c r="V284" s="111">
        <v>463.31599999999997</v>
      </c>
      <c r="W284" s="111">
        <f t="shared" si="80"/>
        <v>5999942.1999999993</v>
      </c>
      <c r="X284" s="36" t="s">
        <v>452</v>
      </c>
    </row>
    <row r="285" spans="7:40">
      <c r="G285" s="207" t="s">
        <v>6548</v>
      </c>
      <c r="H285" s="111">
        <v>345069.28943499998</v>
      </c>
      <c r="Q285" s="97" t="s">
        <v>5060</v>
      </c>
      <c r="R285" s="93">
        <v>300000</v>
      </c>
      <c r="T285" s="207" t="s">
        <v>5068</v>
      </c>
      <c r="U285" s="207">
        <v>37</v>
      </c>
      <c r="V285" s="111">
        <v>463.315</v>
      </c>
      <c r="W285" s="111">
        <f t="shared" si="80"/>
        <v>17142.654999999999</v>
      </c>
      <c r="X285" s="36" t="s">
        <v>452</v>
      </c>
    </row>
    <row r="286" spans="7:40">
      <c r="G286" s="207" t="s">
        <v>6643</v>
      </c>
      <c r="H286" s="111">
        <v>567785.37859199999</v>
      </c>
      <c r="Q286" s="97" t="s">
        <v>5081</v>
      </c>
      <c r="R286" s="93">
        <v>250000</v>
      </c>
      <c r="T286" s="207" t="s">
        <v>5069</v>
      </c>
      <c r="U286" s="207">
        <v>19</v>
      </c>
      <c r="V286" s="111">
        <v>434.3</v>
      </c>
      <c r="W286" s="111">
        <f t="shared" si="80"/>
        <v>8251.7000000000007</v>
      </c>
      <c r="X286" s="36" t="s">
        <v>452</v>
      </c>
      <c r="Y286" t="s">
        <v>25</v>
      </c>
      <c r="AH286" s="97" t="s">
        <v>3625</v>
      </c>
      <c r="AI286" s="97" t="s">
        <v>180</v>
      </c>
      <c r="AJ286" s="97" t="s">
        <v>267</v>
      </c>
      <c r="AK286" s="97" t="s">
        <v>4042</v>
      </c>
      <c r="AL286" s="97" t="s">
        <v>4034</v>
      </c>
      <c r="AM286" s="97" t="s">
        <v>282</v>
      </c>
      <c r="AN286" s="97" t="s">
        <v>4268</v>
      </c>
    </row>
    <row r="287" spans="7:40">
      <c r="G287" s="207" t="s">
        <v>6660</v>
      </c>
      <c r="H287" s="111">
        <v>189683.91675</v>
      </c>
      <c r="J287" t="s">
        <v>25</v>
      </c>
      <c r="Q287" s="97" t="s">
        <v>5114</v>
      </c>
      <c r="R287" s="93">
        <v>200000</v>
      </c>
      <c r="T287" s="207" t="s">
        <v>5071</v>
      </c>
      <c r="U287" s="207">
        <v>16</v>
      </c>
      <c r="V287" s="111">
        <v>439</v>
      </c>
      <c r="W287" s="111">
        <f t="shared" si="80"/>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6662</v>
      </c>
      <c r="H288" s="111">
        <v>519135.75707200001</v>
      </c>
      <c r="J288" t="s">
        <v>25</v>
      </c>
      <c r="Q288" s="97" t="s">
        <v>5146</v>
      </c>
      <c r="R288" s="93">
        <v>122000</v>
      </c>
      <c r="T288" s="207" t="s">
        <v>5071</v>
      </c>
      <c r="U288" s="207">
        <v>9191</v>
      </c>
      <c r="V288" s="111">
        <v>440.24630000000002</v>
      </c>
      <c r="W288" s="111">
        <f t="shared" si="80"/>
        <v>4046303.7433000002</v>
      </c>
      <c r="X288" s="36" t="s">
        <v>5072</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t="s">
        <v>6671</v>
      </c>
      <c r="H289" s="111">
        <v>3406413.9029760002</v>
      </c>
      <c r="J289" t="s">
        <v>25</v>
      </c>
      <c r="Q289" s="97" t="s">
        <v>5154</v>
      </c>
      <c r="R289" s="93">
        <v>200000</v>
      </c>
      <c r="S289" t="s">
        <v>25</v>
      </c>
      <c r="T289" s="207" t="s">
        <v>5074</v>
      </c>
      <c r="U289" s="207">
        <v>-8792</v>
      </c>
      <c r="V289" s="111">
        <v>441.90665999999999</v>
      </c>
      <c r="W289" s="111">
        <f t="shared" si="80"/>
        <v>-3885243.3547199997</v>
      </c>
      <c r="X289" s="36" t="s">
        <v>5075</v>
      </c>
      <c r="AH289" s="97">
        <v>3</v>
      </c>
      <c r="AI289" s="97" t="s">
        <v>4112</v>
      </c>
      <c r="AJ289" s="115">
        <v>150000</v>
      </c>
      <c r="AK289" s="97">
        <v>3</v>
      </c>
      <c r="AL289" s="97">
        <f t="shared" si="81"/>
        <v>938</v>
      </c>
      <c r="AM289" s="97">
        <f t="shared" si="82"/>
        <v>140700000</v>
      </c>
      <c r="AN289" s="97"/>
    </row>
    <row r="290" spans="7:44">
      <c r="G290" s="207" t="s">
        <v>6674</v>
      </c>
      <c r="H290" s="111">
        <v>435036.348168</v>
      </c>
      <c r="Q290" s="97" t="s">
        <v>5164</v>
      </c>
      <c r="R290" s="93">
        <v>60000</v>
      </c>
      <c r="T290" s="207" t="s">
        <v>5081</v>
      </c>
      <c r="U290" s="207">
        <v>530</v>
      </c>
      <c r="V290" s="111">
        <v>472</v>
      </c>
      <c r="W290" s="111">
        <f t="shared" si="80"/>
        <v>250160</v>
      </c>
      <c r="X290" s="36" t="s">
        <v>744</v>
      </c>
      <c r="AH290" s="97">
        <v>4</v>
      </c>
      <c r="AI290" s="97" t="s">
        <v>4127</v>
      </c>
      <c r="AJ290" s="115">
        <v>-95000</v>
      </c>
      <c r="AK290" s="97">
        <v>8</v>
      </c>
      <c r="AL290" s="97">
        <f t="shared" si="81"/>
        <v>935</v>
      </c>
      <c r="AM290" s="97">
        <f t="shared" si="82"/>
        <v>-88825000</v>
      </c>
      <c r="AN290" s="97"/>
    </row>
    <row r="291" spans="7:44" ht="30">
      <c r="G291" s="207"/>
      <c r="H291" s="111"/>
      <c r="J291" t="s">
        <v>25</v>
      </c>
      <c r="O291" t="s">
        <v>25</v>
      </c>
      <c r="Q291" s="97" t="s">
        <v>5223</v>
      </c>
      <c r="R291" s="93">
        <v>-200000</v>
      </c>
      <c r="S291" t="s">
        <v>25</v>
      </c>
      <c r="T291" s="207" t="s">
        <v>5081</v>
      </c>
      <c r="U291" s="207">
        <v>12</v>
      </c>
      <c r="V291" s="111">
        <v>481.86</v>
      </c>
      <c r="W291" s="111">
        <f t="shared" si="80"/>
        <v>5782.32</v>
      </c>
      <c r="X291" s="36" t="s">
        <v>5083</v>
      </c>
      <c r="AH291" s="97">
        <v>5</v>
      </c>
      <c r="AI291" s="97" t="s">
        <v>4152</v>
      </c>
      <c r="AJ291" s="115">
        <v>3150000</v>
      </c>
      <c r="AK291" s="97">
        <v>16</v>
      </c>
      <c r="AL291" s="97">
        <f t="shared" si="81"/>
        <v>927</v>
      </c>
      <c r="AM291" s="97">
        <f t="shared" si="82"/>
        <v>2920050000</v>
      </c>
      <c r="AN291" s="97"/>
    </row>
    <row r="292" spans="7:44">
      <c r="G292" s="207"/>
      <c r="H292" s="111"/>
      <c r="Q292" s="97" t="s">
        <v>5285</v>
      </c>
      <c r="R292" s="93">
        <v>-9000000</v>
      </c>
      <c r="T292" s="207" t="s">
        <v>5107</v>
      </c>
      <c r="U292" s="207">
        <v>846</v>
      </c>
      <c r="V292" s="111">
        <v>472.7</v>
      </c>
      <c r="W292" s="111">
        <f t="shared" si="80"/>
        <v>399904.2</v>
      </c>
      <c r="X292" s="36" t="s">
        <v>452</v>
      </c>
      <c r="AH292" s="97">
        <v>6</v>
      </c>
      <c r="AI292" s="97" t="s">
        <v>4217</v>
      </c>
      <c r="AJ292" s="115">
        <v>-65000</v>
      </c>
      <c r="AK292" s="97">
        <v>1</v>
      </c>
      <c r="AL292" s="97">
        <f t="shared" si="81"/>
        <v>911</v>
      </c>
      <c r="AM292" s="97">
        <f t="shared" si="82"/>
        <v>-59215000</v>
      </c>
      <c r="AN292" s="97"/>
    </row>
    <row r="293" spans="7:44">
      <c r="G293" s="207"/>
      <c r="H293" s="111"/>
      <c r="Q293" s="97" t="s">
        <v>5344</v>
      </c>
      <c r="R293" s="93">
        <v>-26000000</v>
      </c>
      <c r="T293" s="207" t="s">
        <v>5110</v>
      </c>
      <c r="U293" s="207">
        <v>191</v>
      </c>
      <c r="V293" s="111">
        <v>484.572</v>
      </c>
      <c r="W293" s="111">
        <f t="shared" si="80"/>
        <v>92553.252000000008</v>
      </c>
      <c r="X293" s="36" t="s">
        <v>5111</v>
      </c>
      <c r="AH293" s="97">
        <v>7</v>
      </c>
      <c r="AI293" s="97" t="s">
        <v>4288</v>
      </c>
      <c r="AJ293" s="115">
        <v>-95000</v>
      </c>
      <c r="AK293" s="97">
        <v>6</v>
      </c>
      <c r="AL293" s="97">
        <f t="shared" si="81"/>
        <v>910</v>
      </c>
      <c r="AM293" s="97">
        <f t="shared" si="82"/>
        <v>-86450000</v>
      </c>
      <c r="AN293" s="97"/>
    </row>
    <row r="294" spans="7:44">
      <c r="G294" s="207"/>
      <c r="H294" s="111"/>
      <c r="Q294" s="97" t="s">
        <v>5348</v>
      </c>
      <c r="R294" s="93">
        <v>-95900000</v>
      </c>
      <c r="T294" s="207" t="s">
        <v>5110</v>
      </c>
      <c r="U294" s="207">
        <v>-206</v>
      </c>
      <c r="V294" s="111">
        <v>484.572</v>
      </c>
      <c r="W294" s="111">
        <f t="shared" si="80"/>
        <v>-99821.831999999995</v>
      </c>
      <c r="X294" s="36" t="s">
        <v>5113</v>
      </c>
      <c r="AH294" s="97">
        <v>8</v>
      </c>
      <c r="AI294" s="97" t="s">
        <v>4289</v>
      </c>
      <c r="AJ294" s="115">
        <v>232000</v>
      </c>
      <c r="AK294" s="97">
        <v>7</v>
      </c>
      <c r="AL294" s="97">
        <f t="shared" si="81"/>
        <v>904</v>
      </c>
      <c r="AM294" s="97">
        <f t="shared" si="82"/>
        <v>209728000</v>
      </c>
      <c r="AN294" s="97"/>
    </row>
    <row r="295" spans="7:44">
      <c r="G295" s="207"/>
      <c r="H295" s="111"/>
      <c r="Q295" s="97" t="s">
        <v>5349</v>
      </c>
      <c r="R295" s="93">
        <v>-28950000</v>
      </c>
      <c r="S295" t="s">
        <v>25</v>
      </c>
      <c r="T295" s="207" t="s">
        <v>5114</v>
      </c>
      <c r="U295" s="207">
        <v>20685</v>
      </c>
      <c r="V295" s="111">
        <v>483.43312200000003</v>
      </c>
      <c r="W295" s="111">
        <f t="shared" si="80"/>
        <v>9999814.1285699997</v>
      </c>
      <c r="X295" s="36" t="s">
        <v>5116</v>
      </c>
      <c r="AH295" s="97">
        <v>9</v>
      </c>
      <c r="AI295" s="97" t="s">
        <v>4267</v>
      </c>
      <c r="AJ295" s="115">
        <v>13000000</v>
      </c>
      <c r="AK295" s="97">
        <v>2</v>
      </c>
      <c r="AL295" s="97">
        <f t="shared" si="81"/>
        <v>897</v>
      </c>
      <c r="AM295" s="97">
        <f t="shared" si="82"/>
        <v>11661000000</v>
      </c>
      <c r="AN295" s="97"/>
    </row>
    <row r="296" spans="7:44">
      <c r="G296" s="207"/>
      <c r="H296" s="111"/>
      <c r="Q296" s="97" t="s">
        <v>5492</v>
      </c>
      <c r="R296" s="93">
        <v>-93000000</v>
      </c>
      <c r="S296" t="s">
        <v>25</v>
      </c>
      <c r="T296" s="207" t="s">
        <v>5114</v>
      </c>
      <c r="U296" s="207">
        <v>-413</v>
      </c>
      <c r="V296" s="111">
        <v>483.40199999999999</v>
      </c>
      <c r="W296" s="111">
        <f t="shared" si="80"/>
        <v>-199645.02599999998</v>
      </c>
      <c r="X296" s="36" t="s">
        <v>4409</v>
      </c>
      <c r="AH296" s="97">
        <v>10</v>
      </c>
      <c r="AI296" s="97" t="s">
        <v>4290</v>
      </c>
      <c r="AJ296" s="115">
        <v>10000000</v>
      </c>
      <c r="AK296" s="97">
        <v>3</v>
      </c>
      <c r="AL296" s="97">
        <f t="shared" si="81"/>
        <v>895</v>
      </c>
      <c r="AM296" s="97">
        <f t="shared" si="82"/>
        <v>8950000000</v>
      </c>
      <c r="AN296" s="97"/>
    </row>
    <row r="297" spans="7:44">
      <c r="G297" s="207"/>
      <c r="H297" s="111"/>
      <c r="Q297" s="97" t="s">
        <v>5501</v>
      </c>
      <c r="R297" s="93">
        <v>50000000</v>
      </c>
      <c r="T297" s="207" t="s">
        <v>5114</v>
      </c>
      <c r="U297" s="207">
        <v>413</v>
      </c>
      <c r="V297" s="111">
        <v>483.40199999999999</v>
      </c>
      <c r="W297" s="111">
        <f t="shared" si="80"/>
        <v>199645.02599999998</v>
      </c>
      <c r="X297" s="36" t="s">
        <v>744</v>
      </c>
      <c r="AH297" s="97">
        <v>11</v>
      </c>
      <c r="AI297" s="97" t="s">
        <v>4279</v>
      </c>
      <c r="AJ297" s="115">
        <v>3400000</v>
      </c>
      <c r="AK297" s="97">
        <v>9</v>
      </c>
      <c r="AL297" s="97">
        <f t="shared" si="81"/>
        <v>892</v>
      </c>
      <c r="AM297" s="97">
        <f t="shared" si="82"/>
        <v>3032800000</v>
      </c>
      <c r="AN297" s="97"/>
    </row>
    <row r="298" spans="7:44">
      <c r="G298" s="207"/>
      <c r="H298" s="111"/>
      <c r="Q298" s="97" t="s">
        <v>4212</v>
      </c>
      <c r="R298" s="93">
        <v>2749471.1668000002</v>
      </c>
      <c r="T298" s="207" t="s">
        <v>5119</v>
      </c>
      <c r="U298" s="207">
        <v>-828</v>
      </c>
      <c r="V298" s="111">
        <v>483.43312200000003</v>
      </c>
      <c r="W298" s="111">
        <f t="shared" si="80"/>
        <v>-400282.62501600001</v>
      </c>
      <c r="X298" s="36" t="s">
        <v>452</v>
      </c>
      <c r="AH298" s="97">
        <v>12</v>
      </c>
      <c r="AI298" s="97" t="s">
        <v>4316</v>
      </c>
      <c r="AJ298" s="115">
        <v>-8736514</v>
      </c>
      <c r="AK298" s="97">
        <v>1</v>
      </c>
      <c r="AL298" s="97">
        <f>AK298+AL299</f>
        <v>883</v>
      </c>
      <c r="AM298" s="97">
        <f t="shared" si="82"/>
        <v>-7714341862</v>
      </c>
      <c r="AN298" s="97"/>
    </row>
    <row r="299" spans="7:44">
      <c r="G299" s="207" t="s">
        <v>5488</v>
      </c>
      <c r="H299" s="111">
        <v>-87000000</v>
      </c>
      <c r="O299" t="s">
        <v>25</v>
      </c>
      <c r="Q299" s="97" t="s">
        <v>5592</v>
      </c>
      <c r="R299" s="93">
        <v>-680940.07019999996</v>
      </c>
      <c r="T299" s="207" t="s">
        <v>5122</v>
      </c>
      <c r="U299" s="207">
        <v>12</v>
      </c>
      <c r="V299" s="111">
        <v>473.61898300000001</v>
      </c>
      <c r="W299" s="111">
        <f t="shared" si="80"/>
        <v>5683.4277959999999</v>
      </c>
      <c r="X299" s="36" t="s">
        <v>452</v>
      </c>
      <c r="AH299" s="97">
        <v>13</v>
      </c>
      <c r="AI299" s="97" t="s">
        <v>4317</v>
      </c>
      <c r="AJ299" s="115">
        <v>555000</v>
      </c>
      <c r="AK299" s="97">
        <v>5</v>
      </c>
      <c r="AL299" s="97">
        <f t="shared" ref="AL299:AL315" si="83">AK299+AL300</f>
        <v>882</v>
      </c>
      <c r="AM299" s="97">
        <f t="shared" si="82"/>
        <v>489510000</v>
      </c>
      <c r="AN299" s="97"/>
    </row>
    <row r="300" spans="7:44">
      <c r="G300" s="207"/>
      <c r="H300" s="111"/>
      <c r="Q300" s="97" t="s">
        <v>5592</v>
      </c>
      <c r="R300" s="93">
        <v>-48684800.338199995</v>
      </c>
      <c r="T300" s="207" t="s">
        <v>5125</v>
      </c>
      <c r="U300" s="207">
        <v>963</v>
      </c>
      <c r="V300" s="111">
        <v>477.92200000000003</v>
      </c>
      <c r="W300" s="111">
        <f t="shared" si="80"/>
        <v>460238.886</v>
      </c>
      <c r="X300" s="36" t="s">
        <v>452</v>
      </c>
      <c r="AH300" s="97">
        <v>14</v>
      </c>
      <c r="AI300" s="97" t="s">
        <v>4341</v>
      </c>
      <c r="AJ300" s="115">
        <v>-448308</v>
      </c>
      <c r="AK300" s="97">
        <v>6</v>
      </c>
      <c r="AL300" s="97">
        <f t="shared" si="83"/>
        <v>877</v>
      </c>
      <c r="AM300" s="97">
        <f t="shared" si="82"/>
        <v>-393166116</v>
      </c>
      <c r="AN300" s="97"/>
      <c r="AR300" t="s">
        <v>25</v>
      </c>
    </row>
    <row r="301" spans="7:44">
      <c r="G301" s="207"/>
      <c r="H301" s="1"/>
      <c r="P301" t="s">
        <v>25</v>
      </c>
      <c r="Q301" s="97" t="s">
        <v>5616</v>
      </c>
      <c r="R301" s="93">
        <v>1500000</v>
      </c>
      <c r="S301" t="s">
        <v>25</v>
      </c>
      <c r="T301" s="207" t="s">
        <v>5126</v>
      </c>
      <c r="U301" s="207">
        <v>2815</v>
      </c>
      <c r="V301" s="111">
        <v>461.79</v>
      </c>
      <c r="W301" s="111">
        <f t="shared" si="80"/>
        <v>1299938.8500000001</v>
      </c>
      <c r="X301" s="36" t="s">
        <v>452</v>
      </c>
      <c r="AH301" s="97">
        <v>15</v>
      </c>
      <c r="AI301" s="97" t="s">
        <v>4368</v>
      </c>
      <c r="AJ301" s="115">
        <v>33225</v>
      </c>
      <c r="AK301" s="97">
        <v>0</v>
      </c>
      <c r="AL301" s="97">
        <f t="shared" si="83"/>
        <v>871</v>
      </c>
      <c r="AM301" s="97">
        <f t="shared" si="82"/>
        <v>28938975</v>
      </c>
      <c r="AN301" s="97"/>
    </row>
    <row r="302" spans="7:44">
      <c r="G302" s="207"/>
      <c r="H302" s="1"/>
      <c r="Q302" s="97" t="s">
        <v>965</v>
      </c>
      <c r="R302" s="93">
        <v>11221062</v>
      </c>
      <c r="S302" t="s">
        <v>25</v>
      </c>
      <c r="T302" s="207" t="s">
        <v>5126</v>
      </c>
      <c r="U302" s="207">
        <v>1581</v>
      </c>
      <c r="V302" s="111">
        <v>461.79</v>
      </c>
      <c r="W302" s="111">
        <f t="shared" si="80"/>
        <v>730089.99</v>
      </c>
      <c r="X302" s="36" t="s">
        <v>452</v>
      </c>
      <c r="Y302" t="s">
        <v>25</v>
      </c>
      <c r="AH302" s="147">
        <v>16</v>
      </c>
      <c r="AI302" s="147" t="s">
        <v>4368</v>
      </c>
      <c r="AJ302" s="186">
        <v>4098523</v>
      </c>
      <c r="AK302" s="147">
        <v>2</v>
      </c>
      <c r="AL302" s="147">
        <f t="shared" si="83"/>
        <v>871</v>
      </c>
      <c r="AM302" s="147">
        <f t="shared" si="82"/>
        <v>3569813533</v>
      </c>
      <c r="AN302" s="147" t="s">
        <v>650</v>
      </c>
    </row>
    <row r="303" spans="7:44">
      <c r="G303" s="207"/>
      <c r="H303" s="1"/>
      <c r="Q303" s="97" t="s">
        <v>5836</v>
      </c>
      <c r="R303" s="93">
        <v>20031495.928431001</v>
      </c>
      <c r="T303" s="207" t="s">
        <v>977</v>
      </c>
      <c r="U303" s="207">
        <v>41</v>
      </c>
      <c r="V303" s="111">
        <v>514.48099999999999</v>
      </c>
      <c r="W303" s="111">
        <f t="shared" si="80"/>
        <v>21093.721000000001</v>
      </c>
      <c r="X303" s="36" t="s">
        <v>5111</v>
      </c>
      <c r="AH303" s="147">
        <v>17</v>
      </c>
      <c r="AI303" s="147" t="s">
        <v>4379</v>
      </c>
      <c r="AJ303" s="186">
        <v>-1000000</v>
      </c>
      <c r="AK303" s="147">
        <v>7</v>
      </c>
      <c r="AL303" s="147">
        <f t="shared" si="83"/>
        <v>869</v>
      </c>
      <c r="AM303" s="147">
        <f t="shared" si="82"/>
        <v>-869000000</v>
      </c>
      <c r="AN303" s="147" t="s">
        <v>650</v>
      </c>
    </row>
    <row r="304" spans="7:44">
      <c r="G304" s="207" t="s">
        <v>6</v>
      </c>
      <c r="H304" s="1">
        <f>SUM(H164:H303)</f>
        <v>1487785327.2904184</v>
      </c>
      <c r="Q304" s="97" t="s">
        <v>5858</v>
      </c>
      <c r="R304" s="93">
        <v>-154353015.43906799</v>
      </c>
      <c r="S304" t="s">
        <v>25</v>
      </c>
      <c r="T304" s="207" t="s">
        <v>4256</v>
      </c>
      <c r="U304" s="207">
        <v>71</v>
      </c>
      <c r="V304" s="111">
        <v>482.57</v>
      </c>
      <c r="W304" s="111">
        <f t="shared" si="80"/>
        <v>34262.47</v>
      </c>
      <c r="X304" s="36" t="s">
        <v>5111</v>
      </c>
      <c r="AH304" s="147">
        <v>18</v>
      </c>
      <c r="AI304" s="147" t="s">
        <v>4399</v>
      </c>
      <c r="AJ304" s="186">
        <v>750000</v>
      </c>
      <c r="AK304" s="147">
        <v>1</v>
      </c>
      <c r="AL304" s="147">
        <f t="shared" si="83"/>
        <v>862</v>
      </c>
      <c r="AM304" s="147">
        <f t="shared" si="82"/>
        <v>646500000</v>
      </c>
      <c r="AN304" s="147" t="s">
        <v>650</v>
      </c>
    </row>
    <row r="305" spans="7:40">
      <c r="G305" s="285"/>
      <c r="H305" s="1"/>
      <c r="Q305" s="97" t="s">
        <v>5878</v>
      </c>
      <c r="R305" s="93">
        <v>16643927.89773</v>
      </c>
      <c r="S305" t="s">
        <v>25</v>
      </c>
      <c r="T305" s="207" t="s">
        <v>5146</v>
      </c>
      <c r="U305" s="207">
        <v>-250</v>
      </c>
      <c r="V305" s="111">
        <v>487.125</v>
      </c>
      <c r="W305" s="111">
        <f t="shared" si="80"/>
        <v>-121781.25</v>
      </c>
      <c r="X305" s="36" t="s">
        <v>4409</v>
      </c>
      <c r="AH305" s="192">
        <v>19</v>
      </c>
      <c r="AI305" s="192" t="s">
        <v>4400</v>
      </c>
      <c r="AJ305" s="193">
        <v>-604152</v>
      </c>
      <c r="AK305" s="192">
        <v>0</v>
      </c>
      <c r="AL305" s="192">
        <f t="shared" si="83"/>
        <v>861</v>
      </c>
      <c r="AM305" s="192">
        <f t="shared" si="82"/>
        <v>-520174872</v>
      </c>
      <c r="AN305" s="192" t="s">
        <v>650</v>
      </c>
    </row>
    <row r="306" spans="7:40">
      <c r="O306" t="s">
        <v>25</v>
      </c>
      <c r="Q306" s="97" t="s">
        <v>5879</v>
      </c>
      <c r="R306" s="93">
        <v>33355467.51292</v>
      </c>
      <c r="T306" s="207" t="s">
        <v>5146</v>
      </c>
      <c r="U306" s="207">
        <v>250</v>
      </c>
      <c r="V306" s="111">
        <v>487.125</v>
      </c>
      <c r="W306" s="111">
        <f t="shared" si="80"/>
        <v>121781.25</v>
      </c>
      <c r="X306" s="36" t="s">
        <v>744</v>
      </c>
      <c r="AH306" s="97">
        <v>20</v>
      </c>
      <c r="AI306" s="97" t="s">
        <v>4401</v>
      </c>
      <c r="AJ306" s="115">
        <v>-587083</v>
      </c>
      <c r="AK306" s="97">
        <v>4</v>
      </c>
      <c r="AL306" s="97">
        <f t="shared" si="83"/>
        <v>861</v>
      </c>
      <c r="AM306" s="97">
        <f t="shared" si="82"/>
        <v>-505478463</v>
      </c>
      <c r="AN306" s="97"/>
    </row>
    <row r="307" spans="7:40">
      <c r="Q307" s="97" t="s">
        <v>6426</v>
      </c>
      <c r="R307" s="93">
        <v>30000000</v>
      </c>
      <c r="S307" t="s">
        <v>25</v>
      </c>
      <c r="T307" s="207" t="s">
        <v>5154</v>
      </c>
      <c r="U307" s="207">
        <v>-1439</v>
      </c>
      <c r="V307" s="111">
        <v>486.53068999999999</v>
      </c>
      <c r="W307" s="111">
        <f t="shared" si="80"/>
        <v>-700117.66290999996</v>
      </c>
      <c r="X307" s="36" t="s">
        <v>4409</v>
      </c>
      <c r="AH307" s="192">
        <v>21</v>
      </c>
      <c r="AI307" s="192" t="s">
        <v>4402</v>
      </c>
      <c r="AJ307" s="193">
        <v>-754351</v>
      </c>
      <c r="AK307" s="192">
        <v>0</v>
      </c>
      <c r="AL307" s="147">
        <f t="shared" si="83"/>
        <v>857</v>
      </c>
      <c r="AM307" s="192">
        <f t="shared" si="82"/>
        <v>-646478807</v>
      </c>
      <c r="AN307" s="192" t="s">
        <v>650</v>
      </c>
    </row>
    <row r="308" spans="7:40">
      <c r="G308" s="94"/>
      <c r="H308" s="9" t="s">
        <v>452</v>
      </c>
      <c r="Q308" s="97" t="s">
        <v>6444</v>
      </c>
      <c r="R308" s="93">
        <v>6000000</v>
      </c>
      <c r="T308" s="207" t="s">
        <v>5154</v>
      </c>
      <c r="U308" s="207">
        <v>411</v>
      </c>
      <c r="V308" s="111">
        <v>486.53068999999999</v>
      </c>
      <c r="W308" s="111">
        <f t="shared" si="80"/>
        <v>199964.11358999999</v>
      </c>
      <c r="X308" s="36" t="s">
        <v>744</v>
      </c>
      <c r="Y308" t="s">
        <v>25</v>
      </c>
      <c r="AH308" s="97">
        <v>22</v>
      </c>
      <c r="AI308" s="97" t="s">
        <v>4402</v>
      </c>
      <c r="AJ308" s="115">
        <v>-189619</v>
      </c>
      <c r="AK308" s="97">
        <v>15</v>
      </c>
      <c r="AL308" s="97">
        <f t="shared" si="83"/>
        <v>857</v>
      </c>
      <c r="AM308" s="97">
        <f t="shared" si="82"/>
        <v>-162503483</v>
      </c>
      <c r="AN308" s="97"/>
    </row>
    <row r="309" spans="7:40">
      <c r="G309" s="94"/>
      <c r="H309" s="9" t="s">
        <v>744</v>
      </c>
      <c r="Q309" s="97" t="s">
        <v>6548</v>
      </c>
      <c r="R309" s="93">
        <v>126128.77475900001</v>
      </c>
      <c r="T309" s="207" t="s">
        <v>5124</v>
      </c>
      <c r="U309" s="207">
        <v>-4290</v>
      </c>
      <c r="V309" s="111">
        <v>497.57670000000002</v>
      </c>
      <c r="W309" s="111">
        <f t="shared" si="80"/>
        <v>-2134604.0430000001</v>
      </c>
      <c r="X309" s="36" t="s">
        <v>452</v>
      </c>
      <c r="AH309" s="192">
        <v>23</v>
      </c>
      <c r="AI309" s="192" t="s">
        <v>4464</v>
      </c>
      <c r="AJ309" s="186">
        <v>7100</v>
      </c>
      <c r="AK309" s="192">
        <v>0</v>
      </c>
      <c r="AL309" s="147">
        <f t="shared" si="83"/>
        <v>842</v>
      </c>
      <c r="AM309" s="192">
        <f t="shared" si="82"/>
        <v>5978200</v>
      </c>
      <c r="AN309" s="192" t="s">
        <v>650</v>
      </c>
    </row>
    <row r="310" spans="7:40">
      <c r="G310" s="94"/>
      <c r="H310" s="9" t="s">
        <v>5422</v>
      </c>
      <c r="Q310" s="97"/>
      <c r="R310" s="93"/>
      <c r="T310" s="207" t="s">
        <v>5161</v>
      </c>
      <c r="U310" s="207">
        <v>-644</v>
      </c>
      <c r="V310" s="111">
        <v>494.76464499999997</v>
      </c>
      <c r="W310" s="111">
        <f t="shared" si="80"/>
        <v>-318628.43137999997</v>
      </c>
      <c r="X310" s="36" t="s">
        <v>452</v>
      </c>
      <c r="AH310" s="20">
        <v>24</v>
      </c>
      <c r="AI310" s="20" t="s">
        <v>4464</v>
      </c>
      <c r="AJ310" s="115">
        <v>-147902</v>
      </c>
      <c r="AK310" s="20">
        <v>3</v>
      </c>
      <c r="AL310" s="97">
        <f t="shared" si="83"/>
        <v>842</v>
      </c>
      <c r="AM310" s="20">
        <f t="shared" si="82"/>
        <v>-124533484</v>
      </c>
      <c r="AN310" s="20"/>
    </row>
    <row r="311" spans="7:40">
      <c r="G311" s="94"/>
      <c r="H311" s="9" t="s">
        <v>1071</v>
      </c>
      <c r="P311" t="s">
        <v>25</v>
      </c>
      <c r="Q311" s="97"/>
      <c r="R311" s="93"/>
      <c r="S311" t="s">
        <v>25</v>
      </c>
      <c r="T311" s="207" t="s">
        <v>5164</v>
      </c>
      <c r="U311" s="207">
        <v>-112</v>
      </c>
      <c r="V311" s="111">
        <v>485.78</v>
      </c>
      <c r="W311" s="111">
        <f t="shared" si="80"/>
        <v>-54407.360000000001</v>
      </c>
      <c r="X311" s="36" t="s">
        <v>452</v>
      </c>
      <c r="AH311" s="147">
        <v>25</v>
      </c>
      <c r="AI311" s="147" t="s">
        <v>4472</v>
      </c>
      <c r="AJ311" s="186">
        <v>-37200</v>
      </c>
      <c r="AK311" s="147">
        <v>4</v>
      </c>
      <c r="AL311" s="147">
        <f t="shared" si="83"/>
        <v>839</v>
      </c>
      <c r="AM311" s="192">
        <f t="shared" si="82"/>
        <v>-31210800</v>
      </c>
      <c r="AN311" s="147" t="s">
        <v>650</v>
      </c>
    </row>
    <row r="312" spans="7:40">
      <c r="H312" s="9" t="s">
        <v>5359</v>
      </c>
      <c r="P312" t="s">
        <v>25</v>
      </c>
      <c r="Q312" s="97" t="s">
        <v>25</v>
      </c>
      <c r="R312" s="93"/>
      <c r="T312" s="207" t="s">
        <v>5164</v>
      </c>
      <c r="U312" s="207">
        <v>123</v>
      </c>
      <c r="V312" s="111">
        <v>485.78</v>
      </c>
      <c r="W312" s="111">
        <f t="shared" si="80"/>
        <v>59750.939999999995</v>
      </c>
      <c r="X312" s="36" t="s">
        <v>744</v>
      </c>
      <c r="AH312" s="97">
        <v>26</v>
      </c>
      <c r="AI312" s="97" t="s">
        <v>4499</v>
      </c>
      <c r="AJ312" s="115">
        <v>-372326</v>
      </c>
      <c r="AK312" s="97">
        <v>21</v>
      </c>
      <c r="AL312" s="97">
        <f t="shared" si="83"/>
        <v>835</v>
      </c>
      <c r="AM312" s="20">
        <f t="shared" si="82"/>
        <v>-310892210</v>
      </c>
      <c r="AN312" s="97"/>
    </row>
    <row r="313" spans="7:40">
      <c r="H313" s="9" t="s">
        <v>5522</v>
      </c>
      <c r="Q313" s="97"/>
      <c r="R313" s="93">
        <f>SUM(R252:R312)</f>
        <v>151842622.43317199</v>
      </c>
      <c r="T313" s="207" t="s">
        <v>5164</v>
      </c>
      <c r="U313" s="207">
        <v>-123</v>
      </c>
      <c r="V313" s="111">
        <v>485.78</v>
      </c>
      <c r="W313" s="111">
        <f t="shared" si="80"/>
        <v>-59750.939999999995</v>
      </c>
      <c r="X313" s="36" t="s">
        <v>4409</v>
      </c>
      <c r="AH313" s="97">
        <v>27</v>
      </c>
      <c r="AI313" s="97" t="s">
        <v>4546</v>
      </c>
      <c r="AJ313" s="115">
        <v>235062</v>
      </c>
      <c r="AK313" s="97">
        <v>0</v>
      </c>
      <c r="AL313" s="97">
        <f t="shared" si="83"/>
        <v>814</v>
      </c>
      <c r="AM313" s="20">
        <f t="shared" si="82"/>
        <v>191340468</v>
      </c>
      <c r="AN313" s="97"/>
    </row>
    <row r="314" spans="7:40">
      <c r="H314" s="286" t="s">
        <v>5523</v>
      </c>
      <c r="R314" s="97" t="s">
        <v>6</v>
      </c>
      <c r="T314" s="207" t="s">
        <v>5207</v>
      </c>
      <c r="U314" s="207">
        <v>32367</v>
      </c>
      <c r="V314" s="111">
        <v>556.12900000000002</v>
      </c>
      <c r="W314" s="111">
        <f t="shared" si="80"/>
        <v>18000227.343000002</v>
      </c>
      <c r="X314" s="36" t="s">
        <v>452</v>
      </c>
      <c r="AH314" s="147">
        <v>28</v>
      </c>
      <c r="AI314" s="147" t="s">
        <v>4546</v>
      </c>
      <c r="AJ314" s="186">
        <v>235062</v>
      </c>
      <c r="AK314" s="147">
        <v>9</v>
      </c>
      <c r="AL314" s="97">
        <f t="shared" si="83"/>
        <v>814</v>
      </c>
      <c r="AM314" s="147">
        <f t="shared" si="82"/>
        <v>191340468</v>
      </c>
      <c r="AN314" s="147" t="s">
        <v>650</v>
      </c>
    </row>
    <row r="315" spans="7:40">
      <c r="H315" s="286" t="s">
        <v>744</v>
      </c>
      <c r="R315" t="s">
        <v>25</v>
      </c>
      <c r="T315" s="207" t="s">
        <v>5223</v>
      </c>
      <c r="U315" s="207">
        <v>1254</v>
      </c>
      <c r="V315" s="111">
        <v>558.24400000000003</v>
      </c>
      <c r="W315" s="111">
        <f t="shared" si="80"/>
        <v>700037.97600000002</v>
      </c>
      <c r="X315" s="36" t="s">
        <v>4409</v>
      </c>
      <c r="AH315" s="147">
        <v>29</v>
      </c>
      <c r="AI315" s="147" t="s">
        <v>4564</v>
      </c>
      <c r="AJ315" s="186">
        <v>450000</v>
      </c>
      <c r="AK315" s="147">
        <v>0</v>
      </c>
      <c r="AL315" s="97">
        <f t="shared" si="83"/>
        <v>805</v>
      </c>
      <c r="AM315" s="147">
        <f t="shared" si="82"/>
        <v>362250000</v>
      </c>
      <c r="AN315" s="147" t="s">
        <v>650</v>
      </c>
    </row>
    <row r="316" spans="7:40">
      <c r="H316" s="9" t="s">
        <v>5524</v>
      </c>
      <c r="Q316" s="97" t="s">
        <v>452</v>
      </c>
      <c r="T316" s="166" t="s">
        <v>5223</v>
      </c>
      <c r="U316" s="207">
        <v>-358</v>
      </c>
      <c r="V316" s="111">
        <v>558.24400000000003</v>
      </c>
      <c r="W316" s="111">
        <f t="shared" si="80"/>
        <v>-199851.35200000001</v>
      </c>
      <c r="X316" s="36" t="s">
        <v>744</v>
      </c>
      <c r="Z316" t="s">
        <v>25</v>
      </c>
      <c r="AH316" s="20">
        <v>30</v>
      </c>
      <c r="AI316" s="20" t="s">
        <v>4564</v>
      </c>
      <c r="AJ316" s="115">
        <v>450000</v>
      </c>
      <c r="AK316" s="20">
        <v>22</v>
      </c>
      <c r="AL316" s="97">
        <f>AK316+AL317</f>
        <v>805</v>
      </c>
      <c r="AM316" s="20">
        <f t="shared" si="82"/>
        <v>362250000</v>
      </c>
      <c r="AN316" s="20"/>
    </row>
    <row r="317" spans="7:40">
      <c r="H317" s="9" t="s">
        <v>5525</v>
      </c>
      <c r="Q317" s="97" t="s">
        <v>4402</v>
      </c>
      <c r="R317" s="97"/>
      <c r="T317" s="187" t="s">
        <v>5242</v>
      </c>
      <c r="U317" s="187">
        <v>63259</v>
      </c>
      <c r="V317" s="186">
        <v>632.31960000000004</v>
      </c>
      <c r="W317" s="186">
        <f t="shared" si="80"/>
        <v>39999905.576400004</v>
      </c>
      <c r="X317" s="262" t="s">
        <v>1071</v>
      </c>
      <c r="AH317" s="147">
        <v>31</v>
      </c>
      <c r="AI317" s="147" t="s">
        <v>4627</v>
      </c>
      <c r="AJ317" s="186">
        <v>300000</v>
      </c>
      <c r="AK317" s="147">
        <v>0</v>
      </c>
      <c r="AL317" s="147">
        <f t="shared" ref="AL317:AL332" si="84">AK317+AL318</f>
        <v>783</v>
      </c>
      <c r="AM317" s="147">
        <f t="shared" ref="AM317:AM326" si="85">AJ317*AL317</f>
        <v>234900000</v>
      </c>
      <c r="AN317" s="147"/>
    </row>
    <row r="318" spans="7:40" ht="30">
      <c r="H318" s="9" t="s">
        <v>5553</v>
      </c>
      <c r="Q318" s="97" t="s">
        <v>4448</v>
      </c>
      <c r="R318" s="93">
        <v>63115000</v>
      </c>
      <c r="T318" s="19" t="s">
        <v>5246</v>
      </c>
      <c r="U318" s="19">
        <v>-1278</v>
      </c>
      <c r="V318" s="115">
        <v>625.98</v>
      </c>
      <c r="W318" s="115">
        <f t="shared" si="80"/>
        <v>-800002.44000000006</v>
      </c>
      <c r="X318" s="263" t="s">
        <v>5247</v>
      </c>
      <c r="AH318" s="119">
        <v>32</v>
      </c>
      <c r="AI318" s="119" t="s">
        <v>4627</v>
      </c>
      <c r="AJ318" s="77">
        <v>288936</v>
      </c>
      <c r="AK318" s="119">
        <v>3</v>
      </c>
      <c r="AL318" s="119">
        <f t="shared" si="84"/>
        <v>783</v>
      </c>
      <c r="AM318" s="119">
        <f t="shared" si="85"/>
        <v>226236888</v>
      </c>
      <c r="AN318" s="201" t="s">
        <v>4638</v>
      </c>
    </row>
    <row r="319" spans="7:40">
      <c r="H319" s="286"/>
      <c r="Q319" s="97" t="s">
        <v>4456</v>
      </c>
      <c r="R319" s="93">
        <v>13300000</v>
      </c>
      <c r="T319" s="19" t="s">
        <v>5251</v>
      </c>
      <c r="U319" s="19">
        <v>32049</v>
      </c>
      <c r="V319" s="115">
        <v>624.04600000000005</v>
      </c>
      <c r="W319" s="115">
        <f t="shared" si="80"/>
        <v>20000050.254000001</v>
      </c>
      <c r="X319" s="263" t="s">
        <v>5116</v>
      </c>
      <c r="Z319" t="s">
        <v>25</v>
      </c>
      <c r="AH319" s="119">
        <v>33</v>
      </c>
      <c r="AI319" s="119" t="s">
        <v>4636</v>
      </c>
      <c r="AJ319" s="77">
        <v>17962491</v>
      </c>
      <c r="AK319" s="119">
        <v>1</v>
      </c>
      <c r="AL319" s="119">
        <f t="shared" si="84"/>
        <v>780</v>
      </c>
      <c r="AM319" s="119">
        <f t="shared" si="85"/>
        <v>14010742980</v>
      </c>
      <c r="AN319" s="119" t="s">
        <v>4643</v>
      </c>
    </row>
    <row r="320" spans="7:40" ht="30">
      <c r="Q320" s="97" t="s">
        <v>4554</v>
      </c>
      <c r="R320" s="93">
        <v>2269000</v>
      </c>
      <c r="T320" s="19" t="s">
        <v>5258</v>
      </c>
      <c r="U320" s="19">
        <v>45094</v>
      </c>
      <c r="V320" s="115">
        <v>614.13559759999998</v>
      </c>
      <c r="W320" s="115">
        <f t="shared" si="80"/>
        <v>27693830.6381744</v>
      </c>
      <c r="X320" s="263" t="s">
        <v>5260</v>
      </c>
      <c r="Y320" t="s">
        <v>25</v>
      </c>
      <c r="AH320" s="119">
        <v>34</v>
      </c>
      <c r="AI320" s="119" t="s">
        <v>3668</v>
      </c>
      <c r="AJ320" s="77">
        <v>18363511</v>
      </c>
      <c r="AK320" s="119">
        <v>1</v>
      </c>
      <c r="AL320" s="119">
        <f t="shared" si="84"/>
        <v>779</v>
      </c>
      <c r="AM320" s="119">
        <f t="shared" si="85"/>
        <v>14305175069</v>
      </c>
      <c r="AN320" s="119" t="s">
        <v>4643</v>
      </c>
    </row>
    <row r="321" spans="17:44" ht="30">
      <c r="Q321" s="97" t="s">
        <v>4563</v>
      </c>
      <c r="R321" s="93">
        <v>25071612</v>
      </c>
      <c r="T321" s="19" t="s">
        <v>5285</v>
      </c>
      <c r="U321" s="19">
        <v>-11804</v>
      </c>
      <c r="V321" s="115">
        <v>762.46640000000002</v>
      </c>
      <c r="W321" s="115">
        <f t="shared" si="80"/>
        <v>-9000153.3856000006</v>
      </c>
      <c r="X321" s="263" t="s">
        <v>5287</v>
      </c>
      <c r="AH321" s="119">
        <v>35</v>
      </c>
      <c r="AI321" s="119" t="s">
        <v>4648</v>
      </c>
      <c r="AJ321" s="77">
        <v>23622417</v>
      </c>
      <c r="AK321" s="119">
        <v>5</v>
      </c>
      <c r="AL321" s="119">
        <f t="shared" si="84"/>
        <v>778</v>
      </c>
      <c r="AM321" s="119">
        <f t="shared" si="85"/>
        <v>18378240426</v>
      </c>
      <c r="AN321" s="119" t="s">
        <v>4650</v>
      </c>
    </row>
    <row r="322" spans="17:44">
      <c r="Q322" s="97" t="s">
        <v>4564</v>
      </c>
      <c r="R322" s="93">
        <v>42236984</v>
      </c>
      <c r="T322" s="19" t="s">
        <v>5329</v>
      </c>
      <c r="U322" s="19">
        <v>844</v>
      </c>
      <c r="V322" s="115">
        <v>830</v>
      </c>
      <c r="W322" s="115">
        <f t="shared" si="80"/>
        <v>700520</v>
      </c>
      <c r="X322" s="263" t="s">
        <v>4409</v>
      </c>
      <c r="Y322" t="s">
        <v>25</v>
      </c>
      <c r="AH322" s="119">
        <v>36</v>
      </c>
      <c r="AI322" s="119" t="s">
        <v>4662</v>
      </c>
      <c r="AJ322" s="77">
        <v>82496108</v>
      </c>
      <c r="AK322" s="119">
        <v>1</v>
      </c>
      <c r="AL322" s="119">
        <f t="shared" si="84"/>
        <v>773</v>
      </c>
      <c r="AM322" s="119">
        <f t="shared" si="85"/>
        <v>63769491484</v>
      </c>
      <c r="AN322" s="119" t="s">
        <v>4665</v>
      </c>
    </row>
    <row r="323" spans="17:44">
      <c r="Q323" s="97" t="s">
        <v>4585</v>
      </c>
      <c r="R323" s="93">
        <v>19663646</v>
      </c>
      <c r="T323" s="19" t="s">
        <v>5333</v>
      </c>
      <c r="U323" s="19">
        <v>8662</v>
      </c>
      <c r="V323" s="115">
        <v>832.57011999999997</v>
      </c>
      <c r="W323" s="115">
        <f t="shared" si="80"/>
        <v>7211722.3794399993</v>
      </c>
      <c r="X323" s="263" t="s">
        <v>5111</v>
      </c>
      <c r="Z323" t="s">
        <v>25</v>
      </c>
      <c r="AA323" t="s">
        <v>25</v>
      </c>
      <c r="AH323" s="119">
        <v>37</v>
      </c>
      <c r="AI323" s="119" t="s">
        <v>4664</v>
      </c>
      <c r="AJ323" s="77">
        <v>74657561</v>
      </c>
      <c r="AK323" s="119">
        <v>16</v>
      </c>
      <c r="AL323" s="119">
        <f t="shared" si="84"/>
        <v>772</v>
      </c>
      <c r="AM323" s="119">
        <f t="shared" si="85"/>
        <v>57635637092</v>
      </c>
      <c r="AN323" s="119" t="s">
        <v>4670</v>
      </c>
    </row>
    <row r="324" spans="17:44" ht="30">
      <c r="Q324" s="97" t="s">
        <v>4596</v>
      </c>
      <c r="R324" s="93">
        <v>4374525</v>
      </c>
      <c r="T324" s="19" t="s">
        <v>5334</v>
      </c>
      <c r="U324" s="19">
        <v>10253</v>
      </c>
      <c r="V324" s="115">
        <v>827.2568</v>
      </c>
      <c r="W324" s="115">
        <f t="shared" si="80"/>
        <v>8481863.9704</v>
      </c>
      <c r="X324" s="263" t="s">
        <v>5337</v>
      </c>
      <c r="AH324" s="97">
        <v>38</v>
      </c>
      <c r="AI324" s="97" t="s">
        <v>4735</v>
      </c>
      <c r="AJ324" s="115">
        <v>665000</v>
      </c>
      <c r="AK324" s="97">
        <v>0</v>
      </c>
      <c r="AL324" s="97">
        <f t="shared" si="84"/>
        <v>756</v>
      </c>
      <c r="AM324" s="20">
        <f t="shared" si="85"/>
        <v>502740000</v>
      </c>
      <c r="AN324" s="97"/>
    </row>
    <row r="325" spans="17:44">
      <c r="Q325" s="97" t="s">
        <v>4598</v>
      </c>
      <c r="R325" s="93">
        <v>6550580</v>
      </c>
      <c r="T325" s="232" t="s">
        <v>5338</v>
      </c>
      <c r="U325" s="232">
        <v>-33077</v>
      </c>
      <c r="V325" s="233">
        <v>786.02973999999995</v>
      </c>
      <c r="W325" s="233">
        <f t="shared" si="80"/>
        <v>-25999505.70998</v>
      </c>
      <c r="X325" s="271" t="s">
        <v>5341</v>
      </c>
      <c r="AH325" s="147">
        <v>39</v>
      </c>
      <c r="AI325" s="147" t="s">
        <v>4735</v>
      </c>
      <c r="AJ325" s="186">
        <v>665000</v>
      </c>
      <c r="AK325" s="147">
        <v>4</v>
      </c>
      <c r="AL325" s="192">
        <f t="shared" si="84"/>
        <v>756</v>
      </c>
      <c r="AM325" s="192">
        <f t="shared" si="85"/>
        <v>502740000</v>
      </c>
      <c r="AN325" s="192"/>
    </row>
    <row r="326" spans="17:44">
      <c r="Q326" s="97" t="s">
        <v>4614</v>
      </c>
      <c r="R326" s="93">
        <v>7054895</v>
      </c>
      <c r="T326" s="19" t="s">
        <v>5338</v>
      </c>
      <c r="U326" s="19">
        <v>-33077</v>
      </c>
      <c r="V326" s="115">
        <v>786.02973999999995</v>
      </c>
      <c r="W326" s="115">
        <f t="shared" si="80"/>
        <v>-25999505.70998</v>
      </c>
      <c r="X326" s="263" t="s">
        <v>5342</v>
      </c>
      <c r="Y326" t="s">
        <v>25</v>
      </c>
      <c r="AH326" s="20">
        <v>40</v>
      </c>
      <c r="AI326" s="20" t="s">
        <v>4744</v>
      </c>
      <c r="AJ326" s="115">
        <v>2000000</v>
      </c>
      <c r="AK326" s="20">
        <v>1</v>
      </c>
      <c r="AL326" s="97">
        <f t="shared" si="84"/>
        <v>752</v>
      </c>
      <c r="AM326" s="20">
        <f t="shared" si="85"/>
        <v>1504000000</v>
      </c>
      <c r="AN326" s="97"/>
    </row>
    <row r="327" spans="17:44">
      <c r="Q327" s="97" t="s">
        <v>4625</v>
      </c>
      <c r="R327" s="93">
        <v>2145814</v>
      </c>
      <c r="S327" s="112"/>
      <c r="T327" s="19" t="s">
        <v>5338</v>
      </c>
      <c r="U327" s="19">
        <v>1983</v>
      </c>
      <c r="V327" s="115">
        <v>786.02973999999995</v>
      </c>
      <c r="W327" s="115">
        <f t="shared" si="80"/>
        <v>1558696.9744199999</v>
      </c>
      <c r="X327" s="263" t="s">
        <v>5111</v>
      </c>
      <c r="AH327" s="20">
        <v>41</v>
      </c>
      <c r="AI327" s="20" t="s">
        <v>4749</v>
      </c>
      <c r="AJ327" s="115">
        <v>-2060725</v>
      </c>
      <c r="AK327" s="20">
        <v>0</v>
      </c>
      <c r="AL327" s="97">
        <f t="shared" si="84"/>
        <v>751</v>
      </c>
      <c r="AM327" s="20">
        <f t="shared" ref="AM327:AM332" si="86">AJ327*AL327</f>
        <v>-1547604475</v>
      </c>
      <c r="AN327" s="97" t="s">
        <v>4750</v>
      </c>
    </row>
    <row r="328" spans="17:44">
      <c r="Q328" s="97" t="s">
        <v>4627</v>
      </c>
      <c r="R328" s="93">
        <v>4369730</v>
      </c>
      <c r="T328" s="232" t="s">
        <v>5343</v>
      </c>
      <c r="U328" s="232">
        <v>-119753</v>
      </c>
      <c r="V328" s="233">
        <v>800.81560000000002</v>
      </c>
      <c r="W328" s="233">
        <f t="shared" si="80"/>
        <v>-95900070.546800002</v>
      </c>
      <c r="X328" s="271" t="s">
        <v>5341</v>
      </c>
      <c r="AH328" s="147">
        <v>42</v>
      </c>
      <c r="AI328" s="147" t="s">
        <v>4749</v>
      </c>
      <c r="AJ328" s="186">
        <v>-433375</v>
      </c>
      <c r="AK328" s="147">
        <v>0</v>
      </c>
      <c r="AL328" s="147">
        <f t="shared" si="84"/>
        <v>751</v>
      </c>
      <c r="AM328" s="147">
        <f t="shared" si="86"/>
        <v>-325464625</v>
      </c>
      <c r="AN328" s="147" t="s">
        <v>4751</v>
      </c>
    </row>
    <row r="329" spans="17:44">
      <c r="Q329" s="97" t="s">
        <v>4636</v>
      </c>
      <c r="R329" s="93">
        <v>8739459</v>
      </c>
      <c r="T329" s="19" t="s">
        <v>5343</v>
      </c>
      <c r="U329" s="19">
        <v>-119753</v>
      </c>
      <c r="V329" s="115">
        <v>800.81560000000002</v>
      </c>
      <c r="W329" s="115">
        <f t="shared" si="80"/>
        <v>-95900070.546800002</v>
      </c>
      <c r="X329" s="263" t="s">
        <v>5342</v>
      </c>
      <c r="AA329" t="s">
        <v>25</v>
      </c>
      <c r="AH329" s="20">
        <v>43</v>
      </c>
      <c r="AI329" s="20" t="s">
        <v>4749</v>
      </c>
      <c r="AJ329" s="115">
        <v>28000000</v>
      </c>
      <c r="AK329" s="20">
        <v>1</v>
      </c>
      <c r="AL329" s="97">
        <f t="shared" si="84"/>
        <v>751</v>
      </c>
      <c r="AM329" s="20">
        <f t="shared" si="86"/>
        <v>21028000000</v>
      </c>
      <c r="AN329" s="97" t="s">
        <v>3875</v>
      </c>
    </row>
    <row r="330" spans="17:44">
      <c r="Q330" s="97" t="s">
        <v>3668</v>
      </c>
      <c r="R330" s="93">
        <v>6667654</v>
      </c>
      <c r="T330" s="19" t="s">
        <v>5343</v>
      </c>
      <c r="U330" s="19">
        <v>11291</v>
      </c>
      <c r="V330" s="115">
        <v>800.81560000000002</v>
      </c>
      <c r="W330" s="115">
        <f t="shared" si="80"/>
        <v>9042008.9396000002</v>
      </c>
      <c r="X330" s="263" t="s">
        <v>452</v>
      </c>
      <c r="AH330" s="20">
        <v>44</v>
      </c>
      <c r="AI330" s="20" t="s">
        <v>4758</v>
      </c>
      <c r="AJ330" s="115">
        <v>160000</v>
      </c>
      <c r="AK330" s="20">
        <v>0</v>
      </c>
      <c r="AL330" s="97">
        <f t="shared" si="84"/>
        <v>750</v>
      </c>
      <c r="AM330" s="20">
        <f t="shared" si="86"/>
        <v>120000000</v>
      </c>
      <c r="AN330" s="97"/>
    </row>
    <row r="331" spans="17:44">
      <c r="Q331" s="97" t="s">
        <v>4648</v>
      </c>
      <c r="R331" s="93">
        <v>8981245</v>
      </c>
      <c r="T331" s="187" t="s">
        <v>5344</v>
      </c>
      <c r="U331" s="187">
        <v>-35361</v>
      </c>
      <c r="V331" s="186">
        <v>818.697</v>
      </c>
      <c r="W331" s="186">
        <f t="shared" si="80"/>
        <v>-28949944.616999999</v>
      </c>
      <c r="X331" s="262" t="s">
        <v>5341</v>
      </c>
      <c r="Y331" t="s">
        <v>25</v>
      </c>
      <c r="AH331" s="147">
        <v>45</v>
      </c>
      <c r="AI331" s="147" t="s">
        <v>4758</v>
      </c>
      <c r="AJ331" s="186">
        <v>70000</v>
      </c>
      <c r="AK331" s="147">
        <v>9</v>
      </c>
      <c r="AL331" s="147">
        <f t="shared" si="84"/>
        <v>750</v>
      </c>
      <c r="AM331" s="147">
        <f t="shared" si="86"/>
        <v>52500000</v>
      </c>
      <c r="AN331" s="147"/>
    </row>
    <row r="332" spans="17:44">
      <c r="Q332" s="97" t="s">
        <v>4651</v>
      </c>
      <c r="R332" s="93">
        <v>9181756</v>
      </c>
      <c r="T332" s="19" t="s">
        <v>5344</v>
      </c>
      <c r="U332" s="19">
        <v>-35361</v>
      </c>
      <c r="V332" s="115">
        <v>818.697</v>
      </c>
      <c r="W332" s="115">
        <f t="shared" si="80"/>
        <v>-28949944.616999999</v>
      </c>
      <c r="X332" s="263" t="s">
        <v>5342</v>
      </c>
      <c r="Y332" t="s">
        <v>25</v>
      </c>
      <c r="Z332" t="s">
        <v>25</v>
      </c>
      <c r="AH332" s="20">
        <v>46</v>
      </c>
      <c r="AI332" s="20" t="s">
        <v>4765</v>
      </c>
      <c r="AJ332" s="115">
        <v>850000</v>
      </c>
      <c r="AK332" s="20">
        <v>0</v>
      </c>
      <c r="AL332" s="97">
        <f t="shared" si="84"/>
        <v>741</v>
      </c>
      <c r="AM332" s="20">
        <f t="shared" si="86"/>
        <v>629850000</v>
      </c>
      <c r="AN332" s="97"/>
      <c r="AR332" t="s">
        <v>25</v>
      </c>
    </row>
    <row r="333" spans="17:44">
      <c r="Q333" s="97" t="s">
        <v>4664</v>
      </c>
      <c r="R333" s="93">
        <v>11811208</v>
      </c>
      <c r="T333" s="19" t="s">
        <v>5344</v>
      </c>
      <c r="U333" s="19">
        <v>116</v>
      </c>
      <c r="V333" s="115">
        <v>818.697</v>
      </c>
      <c r="W333" s="115">
        <f t="shared" si="80"/>
        <v>94968.851999999999</v>
      </c>
      <c r="X333" s="263" t="s">
        <v>5111</v>
      </c>
      <c r="AA333" t="s">
        <v>25</v>
      </c>
      <c r="AH333" s="192">
        <v>47</v>
      </c>
      <c r="AI333" s="192" t="s">
        <v>4765</v>
      </c>
      <c r="AJ333" s="193">
        <v>20000</v>
      </c>
      <c r="AK333" s="192">
        <v>4</v>
      </c>
      <c r="AL333" s="192">
        <f t="shared" ref="AL333:AL341" si="87">AK333+AL334</f>
        <v>741</v>
      </c>
      <c r="AM333" s="192">
        <f t="shared" ref="AM333:AM341" si="88">AJ333*AL333</f>
        <v>14820000</v>
      </c>
      <c r="AN333" s="192"/>
    </row>
    <row r="334" spans="17:44">
      <c r="Q334" s="97" t="s">
        <v>4671</v>
      </c>
      <c r="R334" s="93">
        <v>41248054</v>
      </c>
      <c r="T334" s="19" t="s">
        <v>5348</v>
      </c>
      <c r="U334" s="19">
        <v>48633</v>
      </c>
      <c r="V334" s="115">
        <v>822.47199999999998</v>
      </c>
      <c r="W334" s="115">
        <f t="shared" si="80"/>
        <v>39999280.776000001</v>
      </c>
      <c r="X334" s="263" t="s">
        <v>5351</v>
      </c>
      <c r="AH334" s="192">
        <v>48</v>
      </c>
      <c r="AI334" s="192" t="s">
        <v>4778</v>
      </c>
      <c r="AJ334" s="193">
        <v>30000000</v>
      </c>
      <c r="AK334" s="192">
        <v>27</v>
      </c>
      <c r="AL334" s="192">
        <f t="shared" si="87"/>
        <v>737</v>
      </c>
      <c r="AM334" s="192">
        <f t="shared" si="88"/>
        <v>22110000000</v>
      </c>
      <c r="AN334" s="192" t="s">
        <v>4779</v>
      </c>
    </row>
    <row r="335" spans="17:44">
      <c r="Q335" s="97" t="s">
        <v>4677</v>
      </c>
      <c r="R335" s="93">
        <v>37328780</v>
      </c>
      <c r="T335" s="19" t="s">
        <v>5348</v>
      </c>
      <c r="U335" s="19">
        <v>3412</v>
      </c>
      <c r="V335" s="115">
        <v>822.47199999999998</v>
      </c>
      <c r="W335" s="115">
        <f t="shared" si="80"/>
        <v>2806274.4640000002</v>
      </c>
      <c r="X335" s="263" t="s">
        <v>5353</v>
      </c>
      <c r="AH335" s="20">
        <v>49</v>
      </c>
      <c r="AI335" s="20" t="s">
        <v>4848</v>
      </c>
      <c r="AJ335" s="115">
        <v>1100000</v>
      </c>
      <c r="AK335" s="20">
        <v>1</v>
      </c>
      <c r="AL335" s="20">
        <f t="shared" si="87"/>
        <v>710</v>
      </c>
      <c r="AM335" s="20">
        <f t="shared" si="88"/>
        <v>781000000</v>
      </c>
      <c r="AN335" s="20"/>
    </row>
    <row r="336" spans="17:44">
      <c r="Q336" s="97" t="s">
        <v>4735</v>
      </c>
      <c r="R336" s="93">
        <v>50000000</v>
      </c>
      <c r="T336" s="19" t="s">
        <v>5349</v>
      </c>
      <c r="U336" s="19">
        <v>1531</v>
      </c>
      <c r="V336" s="115">
        <v>869.82500000000005</v>
      </c>
      <c r="W336" s="115">
        <f t="shared" si="80"/>
        <v>1331702.075</v>
      </c>
      <c r="X336" s="263" t="s">
        <v>5354</v>
      </c>
      <c r="AH336" s="20">
        <v>50</v>
      </c>
      <c r="AI336" s="20" t="s">
        <v>4849</v>
      </c>
      <c r="AJ336" s="115">
        <v>450000</v>
      </c>
      <c r="AK336" s="20">
        <v>0</v>
      </c>
      <c r="AL336" s="20">
        <f t="shared" si="87"/>
        <v>709</v>
      </c>
      <c r="AM336" s="20">
        <f t="shared" si="88"/>
        <v>319050000</v>
      </c>
      <c r="AN336" s="20"/>
      <c r="AR336" t="s">
        <v>25</v>
      </c>
    </row>
    <row r="337" spans="17:46">
      <c r="Q337" s="97" t="s">
        <v>4744</v>
      </c>
      <c r="R337" s="93">
        <v>68656</v>
      </c>
      <c r="T337" s="19" t="s">
        <v>5357</v>
      </c>
      <c r="U337" s="19">
        <v>1019</v>
      </c>
      <c r="V337" s="115">
        <v>835.36580000000004</v>
      </c>
      <c r="W337" s="115">
        <f t="shared" si="80"/>
        <v>851237.75020000001</v>
      </c>
      <c r="X337" s="263" t="s">
        <v>452</v>
      </c>
      <c r="AH337" s="147">
        <v>51</v>
      </c>
      <c r="AI337" s="147" t="s">
        <v>4849</v>
      </c>
      <c r="AJ337" s="186">
        <v>550000</v>
      </c>
      <c r="AK337" s="147">
        <v>1</v>
      </c>
      <c r="AL337" s="147">
        <f t="shared" si="87"/>
        <v>709</v>
      </c>
      <c r="AM337" s="147">
        <f t="shared" si="88"/>
        <v>389950000</v>
      </c>
      <c r="AN337" s="147"/>
      <c r="AS337" t="s">
        <v>25</v>
      </c>
    </row>
    <row r="338" spans="17:46">
      <c r="Q338" s="97" t="s">
        <v>4744</v>
      </c>
      <c r="R338" s="93">
        <v>4000236</v>
      </c>
      <c r="T338" s="187" t="s">
        <v>5363</v>
      </c>
      <c r="U338" s="187">
        <v>2316</v>
      </c>
      <c r="V338" s="186">
        <v>818.697</v>
      </c>
      <c r="W338" s="186">
        <f t="shared" si="80"/>
        <v>1896102.2520000001</v>
      </c>
      <c r="X338" s="262" t="s">
        <v>5366</v>
      </c>
      <c r="AH338" s="147">
        <v>52</v>
      </c>
      <c r="AI338" s="147" t="s">
        <v>4851</v>
      </c>
      <c r="AJ338" s="186">
        <v>1000000</v>
      </c>
      <c r="AK338" s="147">
        <v>8</v>
      </c>
      <c r="AL338" s="147">
        <f t="shared" si="87"/>
        <v>708</v>
      </c>
      <c r="AM338" s="147">
        <f t="shared" si="88"/>
        <v>708000000</v>
      </c>
      <c r="AN338" s="147"/>
      <c r="AR338" t="s">
        <v>25</v>
      </c>
      <c r="AT338" s="94" t="s">
        <v>25</v>
      </c>
    </row>
    <row r="339" spans="17:46">
      <c r="Q339" s="97" t="s">
        <v>4749</v>
      </c>
      <c r="R339" s="93">
        <v>2250000</v>
      </c>
      <c r="T339" s="19" t="s">
        <v>5369</v>
      </c>
      <c r="U339" s="19">
        <v>315</v>
      </c>
      <c r="V339" s="115">
        <v>680</v>
      </c>
      <c r="W339" s="115">
        <f t="shared" si="80"/>
        <v>214200</v>
      </c>
      <c r="X339" s="263" t="s">
        <v>5111</v>
      </c>
      <c r="AH339" s="20">
        <v>53</v>
      </c>
      <c r="AI339" s="20" t="s">
        <v>4860</v>
      </c>
      <c r="AJ339" s="115">
        <v>-2668880</v>
      </c>
      <c r="AK339" s="20">
        <v>0</v>
      </c>
      <c r="AL339" s="20">
        <f t="shared" si="87"/>
        <v>700</v>
      </c>
      <c r="AM339" s="20">
        <f t="shared" si="88"/>
        <v>-1868216000</v>
      </c>
      <c r="AN339" s="20" t="s">
        <v>4862</v>
      </c>
      <c r="AS339" t="s">
        <v>25</v>
      </c>
    </row>
    <row r="340" spans="17:46">
      <c r="Q340" s="97" t="s">
        <v>4758</v>
      </c>
      <c r="R340" s="93">
        <v>-2512200</v>
      </c>
      <c r="T340" s="19" t="s">
        <v>5391</v>
      </c>
      <c r="U340" s="19">
        <v>832</v>
      </c>
      <c r="V340" s="115">
        <v>784.36500000000001</v>
      </c>
      <c r="W340" s="115">
        <f t="shared" si="80"/>
        <v>652591.68000000005</v>
      </c>
      <c r="X340" s="263" t="s">
        <v>5111</v>
      </c>
      <c r="Y340" t="s">
        <v>25</v>
      </c>
      <c r="AH340" s="147">
        <v>54</v>
      </c>
      <c r="AI340" s="147" t="s">
        <v>4860</v>
      </c>
      <c r="AJ340" s="186">
        <v>-1528620</v>
      </c>
      <c r="AK340" s="147">
        <v>0</v>
      </c>
      <c r="AL340" s="147">
        <f t="shared" si="87"/>
        <v>700</v>
      </c>
      <c r="AM340" s="147">
        <f t="shared" si="88"/>
        <v>-1070034000</v>
      </c>
      <c r="AN340" s="147" t="s">
        <v>4862</v>
      </c>
    </row>
    <row r="341" spans="17:46">
      <c r="Q341" s="97" t="s">
        <v>966</v>
      </c>
      <c r="R341" s="93">
        <v>300000</v>
      </c>
      <c r="T341" s="19" t="s">
        <v>5435</v>
      </c>
      <c r="U341" s="19">
        <v>382</v>
      </c>
      <c r="V341" s="115">
        <v>1450.6065000000001</v>
      </c>
      <c r="W341" s="115">
        <f t="shared" si="80"/>
        <v>554131.68300000008</v>
      </c>
      <c r="X341" s="263" t="s">
        <v>5111</v>
      </c>
      <c r="Y341" t="s">
        <v>25</v>
      </c>
      <c r="AH341" s="20">
        <v>55</v>
      </c>
      <c r="AI341" s="20" t="s">
        <v>4860</v>
      </c>
      <c r="AJ341" s="115">
        <v>50000000</v>
      </c>
      <c r="AK341" s="20">
        <v>4</v>
      </c>
      <c r="AL341" s="20">
        <f t="shared" si="87"/>
        <v>700</v>
      </c>
      <c r="AM341" s="20">
        <f t="shared" si="88"/>
        <v>35000000000</v>
      </c>
      <c r="AN341" s="20"/>
    </row>
    <row r="342" spans="17:46">
      <c r="Q342" s="97" t="s">
        <v>4765</v>
      </c>
      <c r="R342" s="93">
        <v>1100000</v>
      </c>
      <c r="T342" s="19" t="s">
        <v>5436</v>
      </c>
      <c r="U342" s="19">
        <v>50047</v>
      </c>
      <c r="V342" s="115">
        <v>1406.14</v>
      </c>
      <c r="W342" s="115">
        <f t="shared" si="80"/>
        <v>70373088.579999998</v>
      </c>
      <c r="X342" s="263" t="s">
        <v>5111</v>
      </c>
      <c r="Z342" t="s">
        <v>25</v>
      </c>
      <c r="AH342" s="20">
        <v>56</v>
      </c>
      <c r="AI342" s="20" t="s">
        <v>4866</v>
      </c>
      <c r="AJ342" s="115">
        <v>400000</v>
      </c>
      <c r="AK342" s="20">
        <v>4</v>
      </c>
      <c r="AL342" s="20">
        <f t="shared" ref="AL342:AL351" si="89">AK342+AL343</f>
        <v>696</v>
      </c>
      <c r="AM342" s="20">
        <f t="shared" ref="AM342:AM351" si="90">AJ342*AL342</f>
        <v>278400000</v>
      </c>
      <c r="AN342" s="20"/>
    </row>
    <row r="343" spans="17:46">
      <c r="Q343" s="97" t="s">
        <v>4785</v>
      </c>
      <c r="R343" s="93">
        <v>890000</v>
      </c>
      <c r="T343" s="19" t="s">
        <v>5437</v>
      </c>
      <c r="U343" s="19">
        <v>846</v>
      </c>
      <c r="V343" s="115">
        <v>1441.6724569999999</v>
      </c>
      <c r="W343" s="115">
        <f t="shared" si="80"/>
        <v>1219654.8986219999</v>
      </c>
      <c r="X343" s="263" t="s">
        <v>5111</v>
      </c>
      <c r="Y343" t="s">
        <v>25</v>
      </c>
      <c r="Z343" t="s">
        <v>25</v>
      </c>
      <c r="AH343" s="20">
        <v>57</v>
      </c>
      <c r="AI343" s="20" t="s">
        <v>4875</v>
      </c>
      <c r="AJ343" s="115">
        <v>2000000</v>
      </c>
      <c r="AK343" s="20">
        <v>3</v>
      </c>
      <c r="AL343" s="20">
        <f t="shared" si="89"/>
        <v>692</v>
      </c>
      <c r="AM343" s="20">
        <f t="shared" si="90"/>
        <v>1384000000</v>
      </c>
      <c r="AN343" s="20"/>
    </row>
    <row r="344" spans="17:46">
      <c r="Q344" s="97" t="s">
        <v>4786</v>
      </c>
      <c r="R344" s="93">
        <v>1000000</v>
      </c>
      <c r="T344" s="19" t="s">
        <v>5438</v>
      </c>
      <c r="U344" s="19">
        <v>10573</v>
      </c>
      <c r="V344" s="115">
        <v>1451.825</v>
      </c>
      <c r="W344" s="115">
        <f t="shared" si="80"/>
        <v>15350145.725</v>
      </c>
      <c r="X344" s="263" t="s">
        <v>5111</v>
      </c>
      <c r="Y344" t="s">
        <v>25</v>
      </c>
      <c r="AH344" s="20">
        <v>58</v>
      </c>
      <c r="AI344" s="20" t="s">
        <v>4878</v>
      </c>
      <c r="AJ344" s="115">
        <v>100000</v>
      </c>
      <c r="AK344" s="20">
        <v>4</v>
      </c>
      <c r="AL344" s="20">
        <f t="shared" si="89"/>
        <v>689</v>
      </c>
      <c r="AM344" s="20">
        <f t="shared" si="90"/>
        <v>68900000</v>
      </c>
      <c r="AN344" s="20" t="s">
        <v>3875</v>
      </c>
    </row>
    <row r="345" spans="17:46" ht="30">
      <c r="Q345" s="97" t="s">
        <v>4786</v>
      </c>
      <c r="R345" s="93">
        <v>45436311</v>
      </c>
      <c r="T345" s="19" t="s">
        <v>5439</v>
      </c>
      <c r="U345" s="19">
        <v>85</v>
      </c>
      <c r="V345" s="115">
        <v>1423.74</v>
      </c>
      <c r="W345" s="115">
        <f t="shared" si="80"/>
        <v>121017.9</v>
      </c>
      <c r="X345" s="263" t="s">
        <v>5440</v>
      </c>
      <c r="Y345" t="s">
        <v>25</v>
      </c>
      <c r="AH345" s="20">
        <v>59</v>
      </c>
      <c r="AI345" s="20" t="s">
        <v>4885</v>
      </c>
      <c r="AJ345" s="115">
        <v>100000</v>
      </c>
      <c r="AK345" s="20">
        <v>7</v>
      </c>
      <c r="AL345" s="20">
        <f t="shared" si="89"/>
        <v>685</v>
      </c>
      <c r="AM345" s="20">
        <f t="shared" si="90"/>
        <v>68500000</v>
      </c>
      <c r="AN345" s="20"/>
    </row>
    <row r="346" spans="17:46" ht="30">
      <c r="Q346" s="97" t="s">
        <v>4798</v>
      </c>
      <c r="R346" s="93">
        <v>-3500000</v>
      </c>
      <c r="T346" s="19" t="s">
        <v>5443</v>
      </c>
      <c r="U346" s="19">
        <v>738</v>
      </c>
      <c r="V346" s="115">
        <v>1388.87895</v>
      </c>
      <c r="W346" s="115">
        <f t="shared" si="80"/>
        <v>1024992.6651</v>
      </c>
      <c r="X346" s="263" t="s">
        <v>5447</v>
      </c>
      <c r="Y346" t="s">
        <v>25</v>
      </c>
      <c r="AA346" t="s">
        <v>25</v>
      </c>
      <c r="AH346" s="20">
        <v>60</v>
      </c>
      <c r="AI346" s="20" t="s">
        <v>4898</v>
      </c>
      <c r="AJ346" s="115">
        <v>50000</v>
      </c>
      <c r="AK346" s="20">
        <v>0</v>
      </c>
      <c r="AL346" s="20">
        <f t="shared" si="89"/>
        <v>678</v>
      </c>
      <c r="AM346" s="20">
        <f t="shared" si="90"/>
        <v>33900000</v>
      </c>
      <c r="AN346" s="20"/>
    </row>
    <row r="347" spans="17:46">
      <c r="Q347" s="97" t="s">
        <v>4833</v>
      </c>
      <c r="R347" s="93">
        <v>2520000</v>
      </c>
      <c r="T347" s="19" t="s">
        <v>5455</v>
      </c>
      <c r="U347" s="19">
        <v>1442</v>
      </c>
      <c r="V347" s="115">
        <v>1350.9547279999999</v>
      </c>
      <c r="W347" s="115">
        <f t="shared" si="80"/>
        <v>1948076.7177759998</v>
      </c>
      <c r="X347" s="263" t="s">
        <v>5111</v>
      </c>
      <c r="AH347" s="147">
        <v>61</v>
      </c>
      <c r="AI347" s="147" t="s">
        <v>4898</v>
      </c>
      <c r="AJ347" s="186">
        <v>50000</v>
      </c>
      <c r="AK347" s="147">
        <v>3</v>
      </c>
      <c r="AL347" s="147">
        <f t="shared" si="89"/>
        <v>678</v>
      </c>
      <c r="AM347" s="147">
        <f t="shared" si="90"/>
        <v>33900000</v>
      </c>
      <c r="AN347" s="147"/>
    </row>
    <row r="348" spans="17:46">
      <c r="Q348" s="97" t="s">
        <v>4848</v>
      </c>
      <c r="R348" s="93">
        <v>4900000</v>
      </c>
      <c r="T348" s="19" t="s">
        <v>5456</v>
      </c>
      <c r="U348" s="19">
        <v>36847</v>
      </c>
      <c r="V348" s="115">
        <v>1356.9658300000001</v>
      </c>
      <c r="W348" s="115">
        <f t="shared" si="80"/>
        <v>50000119.938010007</v>
      </c>
      <c r="X348" s="263" t="s">
        <v>5116</v>
      </c>
      <c r="AA348" t="s">
        <v>25</v>
      </c>
      <c r="AH348" s="20">
        <v>62</v>
      </c>
      <c r="AI348" s="20" t="s">
        <v>4901</v>
      </c>
      <c r="AJ348" s="115">
        <v>50000</v>
      </c>
      <c r="AK348" s="20">
        <v>0</v>
      </c>
      <c r="AL348" s="20">
        <f t="shared" si="89"/>
        <v>675</v>
      </c>
      <c r="AM348" s="20">
        <f t="shared" si="90"/>
        <v>33750000</v>
      </c>
      <c r="AN348" s="20"/>
    </row>
    <row r="349" spans="17:46" ht="30">
      <c r="Q349" s="97" t="s">
        <v>4805</v>
      </c>
      <c r="R349" s="93">
        <v>1150000</v>
      </c>
      <c r="T349" s="19" t="s">
        <v>5457</v>
      </c>
      <c r="U349" s="19">
        <v>13738</v>
      </c>
      <c r="V349" s="115">
        <v>1455.82</v>
      </c>
      <c r="W349" s="115">
        <f t="shared" si="80"/>
        <v>20000055.16</v>
      </c>
      <c r="X349" s="263" t="s">
        <v>5473</v>
      </c>
      <c r="Y349" t="s">
        <v>25</v>
      </c>
      <c r="AH349" s="192">
        <v>63</v>
      </c>
      <c r="AI349" s="192" t="s">
        <v>4901</v>
      </c>
      <c r="AJ349" s="193">
        <v>50000</v>
      </c>
      <c r="AK349" s="192">
        <v>2</v>
      </c>
      <c r="AL349" s="192">
        <f t="shared" si="89"/>
        <v>675</v>
      </c>
      <c r="AM349" s="192">
        <f t="shared" si="90"/>
        <v>33750000</v>
      </c>
      <c r="AN349" s="192"/>
    </row>
    <row r="350" spans="17:46">
      <c r="Q350" s="97" t="s">
        <v>4882</v>
      </c>
      <c r="R350" s="93">
        <v>250000</v>
      </c>
      <c r="T350" s="19" t="s">
        <v>5480</v>
      </c>
      <c r="U350" s="19">
        <v>3100</v>
      </c>
      <c r="V350" s="115">
        <v>1853.4507470000001</v>
      </c>
      <c r="W350" s="115">
        <f t="shared" si="80"/>
        <v>5745697.3157000002</v>
      </c>
      <c r="X350" s="263" t="s">
        <v>5111</v>
      </c>
      <c r="Y350" t="s">
        <v>25</v>
      </c>
      <c r="AH350" s="20">
        <v>64</v>
      </c>
      <c r="AI350" s="20" t="s">
        <v>4908</v>
      </c>
      <c r="AJ350" s="115">
        <v>25000</v>
      </c>
      <c r="AK350" s="20">
        <v>0</v>
      </c>
      <c r="AL350" s="20">
        <f t="shared" si="89"/>
        <v>673</v>
      </c>
      <c r="AM350" s="20">
        <f t="shared" si="90"/>
        <v>16825000</v>
      </c>
      <c r="AN350" s="20"/>
    </row>
    <row r="351" spans="17:46">
      <c r="Q351" s="97" t="s">
        <v>4885</v>
      </c>
      <c r="R351" s="93">
        <v>1403460</v>
      </c>
      <c r="T351" s="19" t="s">
        <v>5481</v>
      </c>
      <c r="U351" s="19">
        <v>480</v>
      </c>
      <c r="V351" s="115">
        <v>1891.9962069999999</v>
      </c>
      <c r="W351" s="115">
        <f t="shared" si="80"/>
        <v>908158.17935999995</v>
      </c>
      <c r="X351" s="263" t="s">
        <v>5111</v>
      </c>
      <c r="Y351" t="s">
        <v>25</v>
      </c>
      <c r="AH351" s="147">
        <v>65</v>
      </c>
      <c r="AI351" s="147" t="s">
        <v>4908</v>
      </c>
      <c r="AJ351" s="186">
        <v>35000</v>
      </c>
      <c r="AK351" s="147">
        <v>7</v>
      </c>
      <c r="AL351" s="147">
        <f t="shared" si="89"/>
        <v>673</v>
      </c>
      <c r="AM351" s="147">
        <f t="shared" si="90"/>
        <v>23555000</v>
      </c>
      <c r="AN351" s="147"/>
    </row>
    <row r="352" spans="17:46">
      <c r="Q352" s="97" t="s">
        <v>4890</v>
      </c>
      <c r="R352" s="93">
        <v>200000</v>
      </c>
      <c r="T352" s="19" t="s">
        <v>5482</v>
      </c>
      <c r="U352" s="19">
        <v>6522</v>
      </c>
      <c r="V352" s="115">
        <v>1938.4694340000001</v>
      </c>
      <c r="W352" s="115">
        <f t="shared" si="80"/>
        <v>12642697.648548001</v>
      </c>
      <c r="X352" s="263" t="s">
        <v>5111</v>
      </c>
      <c r="AA352" t="s">
        <v>25</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4895</v>
      </c>
      <c r="R353" s="93">
        <v>345000</v>
      </c>
      <c r="T353" s="19" t="s">
        <v>5483</v>
      </c>
      <c r="U353" s="19">
        <v>6197</v>
      </c>
      <c r="V353" s="115">
        <v>1984.3985499999999</v>
      </c>
      <c r="W353" s="115">
        <f t="shared" si="80"/>
        <v>12297317.81435</v>
      </c>
      <c r="X353" s="263" t="s">
        <v>5111</v>
      </c>
      <c r="AA353" t="s">
        <v>25</v>
      </c>
      <c r="AH353" s="20">
        <v>67</v>
      </c>
      <c r="AI353" s="20" t="s">
        <v>4916</v>
      </c>
      <c r="AJ353" s="115">
        <v>6800000</v>
      </c>
      <c r="AK353" s="20">
        <v>1</v>
      </c>
      <c r="AL353" s="20">
        <f t="shared" si="91"/>
        <v>666</v>
      </c>
      <c r="AM353" s="20">
        <f t="shared" si="92"/>
        <v>4528800000</v>
      </c>
      <c r="AN353" s="20"/>
    </row>
    <row r="354" spans="17:45">
      <c r="Q354" s="97" t="s">
        <v>4898</v>
      </c>
      <c r="R354" s="93">
        <v>900000</v>
      </c>
      <c r="S354" s="112"/>
      <c r="T354" s="19" t="s">
        <v>5484</v>
      </c>
      <c r="U354" s="19">
        <v>4646</v>
      </c>
      <c r="V354" s="115">
        <v>1928.464023</v>
      </c>
      <c r="W354" s="115">
        <f t="shared" si="80"/>
        <v>8959643.8508579992</v>
      </c>
      <c r="X354" s="263" t="s">
        <v>5111</v>
      </c>
      <c r="Z354" t="s">
        <v>25</v>
      </c>
      <c r="AH354" s="20">
        <v>68</v>
      </c>
      <c r="AI354" s="20" t="s">
        <v>4919</v>
      </c>
      <c r="AJ354" s="115">
        <v>500000</v>
      </c>
      <c r="AK354" s="20">
        <v>1</v>
      </c>
      <c r="AL354" s="20">
        <f t="shared" si="91"/>
        <v>665</v>
      </c>
      <c r="AM354" s="20">
        <f t="shared" si="92"/>
        <v>332500000</v>
      </c>
      <c r="AN354" s="20"/>
    </row>
    <row r="355" spans="17:45">
      <c r="Q355" s="97" t="s">
        <v>4906</v>
      </c>
      <c r="R355" s="93">
        <v>372517</v>
      </c>
      <c r="T355" s="19" t="s">
        <v>5485</v>
      </c>
      <c r="U355" s="19">
        <v>7668</v>
      </c>
      <c r="V355" s="115">
        <v>1976.2774959999999</v>
      </c>
      <c r="W355" s="115">
        <f t="shared" si="80"/>
        <v>15154095.839328</v>
      </c>
      <c r="X355" s="263" t="s">
        <v>5111</v>
      </c>
      <c r="AH355" s="20">
        <v>69</v>
      </c>
      <c r="AI355" s="20" t="s">
        <v>4923</v>
      </c>
      <c r="AJ355" s="115">
        <v>850000</v>
      </c>
      <c r="AK355" s="20">
        <v>5</v>
      </c>
      <c r="AL355" s="20">
        <f t="shared" si="91"/>
        <v>664</v>
      </c>
      <c r="AM355" s="20">
        <f t="shared" si="92"/>
        <v>564400000</v>
      </c>
      <c r="AN355" s="20"/>
    </row>
    <row r="356" spans="17:45" ht="30">
      <c r="Q356" s="97" t="s">
        <v>4939</v>
      </c>
      <c r="R356" s="93">
        <v>6489257</v>
      </c>
      <c r="T356" s="19" t="s">
        <v>5492</v>
      </c>
      <c r="U356" s="19">
        <v>-43325</v>
      </c>
      <c r="V356" s="115">
        <v>2146.5548840000001</v>
      </c>
      <c r="W356" s="115">
        <f t="shared" si="80"/>
        <v>-92999490.349300012</v>
      </c>
      <c r="X356" s="263" t="s">
        <v>5493</v>
      </c>
      <c r="Y356" t="s">
        <v>25</v>
      </c>
      <c r="AH356" s="20">
        <v>70</v>
      </c>
      <c r="AI356" s="20" t="s">
        <v>4931</v>
      </c>
      <c r="AJ356" s="115">
        <v>1130250</v>
      </c>
      <c r="AK356" s="20">
        <v>0</v>
      </c>
      <c r="AL356" s="20">
        <f t="shared" si="91"/>
        <v>659</v>
      </c>
      <c r="AM356" s="20">
        <f t="shared" si="92"/>
        <v>744834750</v>
      </c>
      <c r="AN356" s="20"/>
    </row>
    <row r="357" spans="17:45">
      <c r="Q357" s="97" t="s">
        <v>4950</v>
      </c>
      <c r="R357" s="93">
        <v>618000</v>
      </c>
      <c r="T357" s="19" t="s">
        <v>5500</v>
      </c>
      <c r="U357" s="19">
        <v>20888</v>
      </c>
      <c r="V357" s="115">
        <v>2428.4521530000002</v>
      </c>
      <c r="W357" s="115">
        <f t="shared" si="80"/>
        <v>50725508.571864001</v>
      </c>
      <c r="X357" s="263" t="s">
        <v>5111</v>
      </c>
      <c r="AH357" s="242">
        <v>71</v>
      </c>
      <c r="AI357" s="242" t="s">
        <v>4931</v>
      </c>
      <c r="AJ357" s="233">
        <v>30000</v>
      </c>
      <c r="AK357" s="242">
        <v>5</v>
      </c>
      <c r="AL357" s="242">
        <f t="shared" si="91"/>
        <v>659</v>
      </c>
      <c r="AM357" s="242">
        <f t="shared" si="92"/>
        <v>19770000</v>
      </c>
      <c r="AN357" s="242"/>
    </row>
    <row r="358" spans="17:45" ht="18" customHeight="1">
      <c r="Q358" s="97" t="s">
        <v>4954</v>
      </c>
      <c r="R358" s="93">
        <v>20105000</v>
      </c>
      <c r="T358" s="19" t="s">
        <v>5501</v>
      </c>
      <c r="U358" s="19">
        <v>21663</v>
      </c>
      <c r="V358" s="115">
        <v>2308.0067819999999</v>
      </c>
      <c r="W358" s="115">
        <f t="shared" si="80"/>
        <v>49998350.918466002</v>
      </c>
      <c r="X358" s="263" t="s">
        <v>5504</v>
      </c>
      <c r="Y358" t="s">
        <v>25</v>
      </c>
      <c r="AH358" s="20">
        <v>72</v>
      </c>
      <c r="AI358" s="20" t="s">
        <v>4939</v>
      </c>
      <c r="AJ358" s="115">
        <v>206000</v>
      </c>
      <c r="AK358" s="20">
        <v>0</v>
      </c>
      <c r="AL358" s="20">
        <f t="shared" si="91"/>
        <v>654</v>
      </c>
      <c r="AM358" s="20">
        <f t="shared" si="92"/>
        <v>134724000</v>
      </c>
      <c r="AN358" s="20"/>
      <c r="AS358" t="s">
        <v>25</v>
      </c>
    </row>
    <row r="359" spans="17:45" ht="21" customHeight="1">
      <c r="Q359" s="97" t="s">
        <v>4955</v>
      </c>
      <c r="R359" s="93">
        <v>-21079990</v>
      </c>
      <c r="T359" s="19" t="s">
        <v>5501</v>
      </c>
      <c r="U359" s="19">
        <v>977</v>
      </c>
      <c r="V359" s="115">
        <v>2335.6821479999999</v>
      </c>
      <c r="W359" s="115">
        <f t="shared" si="80"/>
        <v>2281961.458596</v>
      </c>
      <c r="X359" s="263" t="s">
        <v>5111</v>
      </c>
      <c r="AH359" s="147">
        <v>73</v>
      </c>
      <c r="AI359" s="147" t="s">
        <v>4939</v>
      </c>
      <c r="AJ359" s="186">
        <v>206000</v>
      </c>
      <c r="AK359" s="147">
        <v>2</v>
      </c>
      <c r="AL359" s="147">
        <f t="shared" si="91"/>
        <v>654</v>
      </c>
      <c r="AM359" s="147">
        <f t="shared" si="92"/>
        <v>134724000</v>
      </c>
      <c r="AN359" s="147"/>
    </row>
    <row r="360" spans="17:45">
      <c r="Q360" s="97" t="s">
        <v>4961</v>
      </c>
      <c r="R360" s="93">
        <v>-5949277</v>
      </c>
      <c r="T360" s="19" t="s">
        <v>5508</v>
      </c>
      <c r="U360" s="19">
        <v>4155</v>
      </c>
      <c r="V360" s="115">
        <v>2647</v>
      </c>
      <c r="W360" s="115">
        <f t="shared" si="80"/>
        <v>10998285</v>
      </c>
      <c r="X360" s="263" t="s">
        <v>5111</v>
      </c>
      <c r="AH360" s="20">
        <v>74</v>
      </c>
      <c r="AI360" s="20" t="s">
        <v>4946</v>
      </c>
      <c r="AJ360" s="115">
        <v>50000</v>
      </c>
      <c r="AK360" s="20">
        <v>0</v>
      </c>
      <c r="AL360" s="20">
        <f t="shared" si="91"/>
        <v>652</v>
      </c>
      <c r="AM360" s="20">
        <f t="shared" si="92"/>
        <v>32600000</v>
      </c>
      <c r="AN360" s="20"/>
    </row>
    <row r="361" spans="17:45">
      <c r="Q361" s="97" t="s">
        <v>4967</v>
      </c>
      <c r="R361" s="93">
        <v>-15370656</v>
      </c>
      <c r="T361" s="19" t="s">
        <v>5509</v>
      </c>
      <c r="U361" s="19">
        <v>351</v>
      </c>
      <c r="V361" s="115">
        <v>2800.6238229999999</v>
      </c>
      <c r="W361" s="115">
        <f t="shared" si="80"/>
        <v>983018.96187300002</v>
      </c>
      <c r="X361" s="263" t="s">
        <v>5111</v>
      </c>
      <c r="Y361" t="s">
        <v>25</v>
      </c>
      <c r="AH361" s="242">
        <v>75</v>
      </c>
      <c r="AI361" s="242" t="s">
        <v>4946</v>
      </c>
      <c r="AJ361" s="233">
        <v>50000</v>
      </c>
      <c r="AK361" s="242">
        <v>2</v>
      </c>
      <c r="AL361" s="242">
        <f t="shared" si="91"/>
        <v>652</v>
      </c>
      <c r="AM361" s="242">
        <f t="shared" si="92"/>
        <v>32600000</v>
      </c>
      <c r="AN361" s="242"/>
    </row>
    <row r="362" spans="17:45" ht="18.75" customHeight="1">
      <c r="Q362" s="97" t="s">
        <v>4967</v>
      </c>
      <c r="R362" s="93">
        <v>4960000</v>
      </c>
      <c r="T362" s="19" t="s">
        <v>5511</v>
      </c>
      <c r="U362" s="19">
        <v>5877</v>
      </c>
      <c r="V362" s="115">
        <v>2901.0160000000001</v>
      </c>
      <c r="W362" s="115">
        <f t="shared" si="80"/>
        <v>17049271.032000002</v>
      </c>
      <c r="X362" s="263" t="s">
        <v>5111</v>
      </c>
      <c r="Y362" t="s">
        <v>25</v>
      </c>
      <c r="AH362" s="20">
        <v>76</v>
      </c>
      <c r="AI362" s="20" t="s">
        <v>4950</v>
      </c>
      <c r="AJ362" s="115">
        <v>20000000</v>
      </c>
      <c r="AK362" s="20">
        <v>7</v>
      </c>
      <c r="AL362" s="20">
        <f t="shared" si="91"/>
        <v>650</v>
      </c>
      <c r="AM362" s="20">
        <f t="shared" si="92"/>
        <v>13000000000</v>
      </c>
      <c r="AN362" s="20" t="s">
        <v>4951</v>
      </c>
    </row>
    <row r="363" spans="17:45">
      <c r="Q363" s="97" t="s">
        <v>4974</v>
      </c>
      <c r="R363" s="93">
        <v>10000000</v>
      </c>
      <c r="S363" t="s">
        <v>25</v>
      </c>
      <c r="T363" s="19" t="s">
        <v>5514</v>
      </c>
      <c r="U363" s="19">
        <v>2374</v>
      </c>
      <c r="V363" s="115">
        <v>2877</v>
      </c>
      <c r="W363" s="115">
        <f t="shared" ref="W363:W400" si="93">U363*V363</f>
        <v>6829998</v>
      </c>
      <c r="X363" s="263" t="s">
        <v>5111</v>
      </c>
      <c r="AH363" s="20">
        <v>77</v>
      </c>
      <c r="AI363" s="20" t="s">
        <v>4961</v>
      </c>
      <c r="AJ363" s="115">
        <v>50000</v>
      </c>
      <c r="AK363" s="20">
        <v>0</v>
      </c>
      <c r="AL363" s="20">
        <f t="shared" si="91"/>
        <v>643</v>
      </c>
      <c r="AM363" s="20">
        <f t="shared" si="92"/>
        <v>32150000</v>
      </c>
      <c r="AN363" s="20"/>
    </row>
    <row r="364" spans="17:45">
      <c r="Q364" s="97" t="s">
        <v>4983</v>
      </c>
      <c r="R364" s="93">
        <v>-40570100</v>
      </c>
      <c r="T364" s="19" t="s">
        <v>4212</v>
      </c>
      <c r="U364" s="19">
        <v>2532</v>
      </c>
      <c r="V364" s="115">
        <v>2757.7444</v>
      </c>
      <c r="W364" s="115">
        <f t="shared" si="93"/>
        <v>6982608.8207999999</v>
      </c>
      <c r="X364" s="263" t="s">
        <v>5111</v>
      </c>
      <c r="AH364" s="147">
        <v>78</v>
      </c>
      <c r="AI364" s="147" t="s">
        <v>4961</v>
      </c>
      <c r="AJ364" s="186">
        <v>50000</v>
      </c>
      <c r="AK364" s="147">
        <v>7</v>
      </c>
      <c r="AL364" s="147">
        <f t="shared" si="91"/>
        <v>643</v>
      </c>
      <c r="AM364" s="147">
        <f t="shared" si="92"/>
        <v>32150000</v>
      </c>
      <c r="AN364" s="147"/>
    </row>
    <row r="365" spans="17:45">
      <c r="Q365" s="97" t="s">
        <v>4984</v>
      </c>
      <c r="R365" s="93">
        <v>1000000</v>
      </c>
      <c r="T365" s="19" t="s">
        <v>4212</v>
      </c>
      <c r="U365" s="19">
        <v>4987</v>
      </c>
      <c r="V365" s="115">
        <v>2757.7444</v>
      </c>
      <c r="W365" s="115">
        <f t="shared" si="93"/>
        <v>13752871.322800001</v>
      </c>
      <c r="X365" s="263" t="s">
        <v>5530</v>
      </c>
      <c r="Y365" t="s">
        <v>25</v>
      </c>
      <c r="AH365" s="20">
        <v>79</v>
      </c>
      <c r="AI365" s="20" t="s">
        <v>4967</v>
      </c>
      <c r="AJ365" s="115">
        <v>2480000</v>
      </c>
      <c r="AK365" s="20">
        <v>0</v>
      </c>
      <c r="AL365" s="20">
        <f t="shared" si="91"/>
        <v>636</v>
      </c>
      <c r="AM365" s="20">
        <f t="shared" si="92"/>
        <v>1577280000</v>
      </c>
      <c r="AN365" s="20"/>
    </row>
    <row r="366" spans="17:45">
      <c r="Q366" s="97" t="s">
        <v>4991</v>
      </c>
      <c r="R366" s="93">
        <v>400000</v>
      </c>
      <c r="T366" s="19" t="s">
        <v>4212</v>
      </c>
      <c r="U366" s="19">
        <v>997</v>
      </c>
      <c r="V366" s="115">
        <v>2757.7444</v>
      </c>
      <c r="W366" s="115">
        <f t="shared" si="93"/>
        <v>2749471.1668000002</v>
      </c>
      <c r="X366" s="263" t="s">
        <v>5531</v>
      </c>
      <c r="AH366" s="147">
        <v>80</v>
      </c>
      <c r="AI366" s="147" t="s">
        <v>4967</v>
      </c>
      <c r="AJ366" s="186">
        <v>2480000</v>
      </c>
      <c r="AK366" s="147">
        <v>12</v>
      </c>
      <c r="AL366" s="147">
        <f t="shared" si="91"/>
        <v>636</v>
      </c>
      <c r="AM366" s="147">
        <f t="shared" si="92"/>
        <v>1577280000</v>
      </c>
      <c r="AN366" s="147"/>
    </row>
    <row r="367" spans="17:45">
      <c r="Q367" s="97" t="s">
        <v>5005</v>
      </c>
      <c r="R367" s="93">
        <v>120000</v>
      </c>
      <c r="T367" s="19" t="s">
        <v>5535</v>
      </c>
      <c r="U367" s="19">
        <v>2874</v>
      </c>
      <c r="V367" s="115">
        <v>2613.1284000000001</v>
      </c>
      <c r="W367" s="115">
        <f t="shared" si="93"/>
        <v>7510131.0216000006</v>
      </c>
      <c r="X367" s="263" t="s">
        <v>5111</v>
      </c>
      <c r="AH367" s="20">
        <v>81</v>
      </c>
      <c r="AI367" s="20" t="s">
        <v>4974</v>
      </c>
      <c r="AJ367" s="115">
        <v>-24159500</v>
      </c>
      <c r="AK367" s="20">
        <v>4</v>
      </c>
      <c r="AL367" s="20">
        <f t="shared" si="91"/>
        <v>624</v>
      </c>
      <c r="AM367" s="20">
        <f t="shared" si="92"/>
        <v>-15075528000</v>
      </c>
      <c r="AN367" s="20" t="s">
        <v>4982</v>
      </c>
    </row>
    <row r="368" spans="17:45">
      <c r="Q368" s="97" t="s">
        <v>4996</v>
      </c>
      <c r="R368" s="93">
        <v>500000</v>
      </c>
      <c r="T368" s="19" t="s">
        <v>5541</v>
      </c>
      <c r="U368" s="19">
        <v>2847</v>
      </c>
      <c r="V368" s="115">
        <v>2556.3841000000002</v>
      </c>
      <c r="W368" s="115">
        <f t="shared" si="93"/>
        <v>7278025.5327000003</v>
      </c>
      <c r="X368" s="263" t="s">
        <v>5111</v>
      </c>
      <c r="AH368" s="20">
        <v>82</v>
      </c>
      <c r="AI368" s="20" t="s">
        <v>4984</v>
      </c>
      <c r="AJ368" s="115">
        <v>400000</v>
      </c>
      <c r="AK368" s="20">
        <v>3</v>
      </c>
      <c r="AL368" s="20">
        <f t="shared" si="91"/>
        <v>620</v>
      </c>
      <c r="AM368" s="20">
        <f t="shared" si="92"/>
        <v>248000000</v>
      </c>
      <c r="AN368" s="20"/>
    </row>
    <row r="369" spans="17:45">
      <c r="Q369" s="97" t="s">
        <v>5021</v>
      </c>
      <c r="R369" s="93">
        <v>744000</v>
      </c>
      <c r="T369" s="19" t="s">
        <v>5541</v>
      </c>
      <c r="U369" s="19">
        <v>1222</v>
      </c>
      <c r="V369" s="115">
        <v>2556.3841000000002</v>
      </c>
      <c r="W369" s="115">
        <f t="shared" si="93"/>
        <v>3123901.3702000002</v>
      </c>
      <c r="X369" s="263" t="s">
        <v>5542</v>
      </c>
      <c r="AH369" s="147">
        <v>83</v>
      </c>
      <c r="AI369" s="147" t="s">
        <v>4991</v>
      </c>
      <c r="AJ369" s="186">
        <v>40000</v>
      </c>
      <c r="AK369" s="147">
        <v>0</v>
      </c>
      <c r="AL369" s="147">
        <f t="shared" si="91"/>
        <v>617</v>
      </c>
      <c r="AM369" s="147">
        <f t="shared" si="92"/>
        <v>24680000</v>
      </c>
      <c r="AN369" s="147"/>
    </row>
    <row r="370" spans="17:45">
      <c r="Q370" s="97" t="s">
        <v>5026</v>
      </c>
      <c r="R370" s="93">
        <v>65000</v>
      </c>
      <c r="T370" s="19" t="s">
        <v>5550</v>
      </c>
      <c r="U370" s="19">
        <v>73</v>
      </c>
      <c r="V370" s="115">
        <v>2672.0459999999998</v>
      </c>
      <c r="W370" s="115">
        <f t="shared" si="93"/>
        <v>195059.35799999998</v>
      </c>
      <c r="X370" s="263" t="s">
        <v>5111</v>
      </c>
      <c r="AH370" s="20">
        <v>84</v>
      </c>
      <c r="AI370" s="20" t="s">
        <v>4991</v>
      </c>
      <c r="AJ370" s="115">
        <v>40000</v>
      </c>
      <c r="AK370" s="20">
        <v>5</v>
      </c>
      <c r="AL370" s="20">
        <f t="shared" si="91"/>
        <v>617</v>
      </c>
      <c r="AM370" s="20">
        <f t="shared" si="92"/>
        <v>24680000</v>
      </c>
      <c r="AN370" s="20"/>
    </row>
    <row r="371" spans="17:45" ht="30">
      <c r="Q371" s="97" t="s">
        <v>4997</v>
      </c>
      <c r="R371" s="93">
        <v>-14053702</v>
      </c>
      <c r="T371" s="19" t="s">
        <v>5555</v>
      </c>
      <c r="U371" s="19">
        <v>332</v>
      </c>
      <c r="V371" s="115">
        <v>2598.1260000000002</v>
      </c>
      <c r="W371" s="115">
        <f t="shared" si="93"/>
        <v>862577.83200000005</v>
      </c>
      <c r="X371" s="263" t="s">
        <v>5556</v>
      </c>
      <c r="Y371" t="s">
        <v>25</v>
      </c>
      <c r="Z371" t="s">
        <v>25</v>
      </c>
      <c r="AH371" s="20">
        <v>85</v>
      </c>
      <c r="AI371" s="20" t="s">
        <v>4999</v>
      </c>
      <c r="AJ371" s="115">
        <v>200000</v>
      </c>
      <c r="AK371" s="20">
        <v>1</v>
      </c>
      <c r="AL371" s="20">
        <f t="shared" si="91"/>
        <v>612</v>
      </c>
      <c r="AM371" s="20">
        <f t="shared" si="92"/>
        <v>122400000</v>
      </c>
      <c r="AN371" s="20"/>
    </row>
    <row r="372" spans="17:45">
      <c r="Q372" s="97" t="s">
        <v>5062</v>
      </c>
      <c r="R372" s="93">
        <v>3555678</v>
      </c>
      <c r="T372" s="19" t="s">
        <v>5557</v>
      </c>
      <c r="U372" s="19">
        <v>346</v>
      </c>
      <c r="V372" s="115">
        <v>2659.8510000000001</v>
      </c>
      <c r="W372" s="115">
        <f t="shared" si="93"/>
        <v>920308.446</v>
      </c>
      <c r="X372" s="263" t="s">
        <v>5111</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5066</v>
      </c>
      <c r="R373" s="93">
        <v>3495</v>
      </c>
      <c r="T373" s="19" t="s">
        <v>5558</v>
      </c>
      <c r="U373" s="19">
        <v>1722</v>
      </c>
      <c r="V373" s="115">
        <v>2692.1079220000001</v>
      </c>
      <c r="W373" s="115">
        <f t="shared" si="93"/>
        <v>4635809.8416840006</v>
      </c>
      <c r="X373" s="263" t="s">
        <v>5111</v>
      </c>
      <c r="Y373" t="s">
        <v>25</v>
      </c>
      <c r="AB373" t="s">
        <v>25</v>
      </c>
      <c r="AH373" s="20">
        <v>87</v>
      </c>
      <c r="AI373" s="20" t="s">
        <v>5005</v>
      </c>
      <c r="AJ373" s="115">
        <v>500000</v>
      </c>
      <c r="AK373" s="20">
        <v>3</v>
      </c>
      <c r="AL373" s="20">
        <f t="shared" si="94"/>
        <v>609</v>
      </c>
      <c r="AM373" s="20">
        <f t="shared" si="95"/>
        <v>304500000</v>
      </c>
      <c r="AN373" s="20"/>
    </row>
    <row r="374" spans="17:45">
      <c r="Q374" s="97" t="s">
        <v>5068</v>
      </c>
      <c r="R374" s="93">
        <v>6000000</v>
      </c>
      <c r="T374" s="19" t="s">
        <v>5560</v>
      </c>
      <c r="U374" s="19">
        <v>106</v>
      </c>
      <c r="V374" s="115">
        <v>2725.4</v>
      </c>
      <c r="W374" s="115">
        <f t="shared" si="93"/>
        <v>288892.40000000002</v>
      </c>
      <c r="X374" s="263" t="s">
        <v>452</v>
      </c>
      <c r="Y374" t="s">
        <v>25</v>
      </c>
      <c r="Z374" t="s">
        <v>25</v>
      </c>
      <c r="AH374" s="20">
        <v>88</v>
      </c>
      <c r="AI374" s="20" t="s">
        <v>4996</v>
      </c>
      <c r="AJ374" s="115">
        <v>250000</v>
      </c>
      <c r="AK374" s="20">
        <v>0</v>
      </c>
      <c r="AL374" s="20">
        <f t="shared" si="94"/>
        <v>606</v>
      </c>
      <c r="AM374" s="20">
        <f t="shared" si="95"/>
        <v>151500000</v>
      </c>
      <c r="AN374" s="20"/>
      <c r="AS374" t="s">
        <v>25</v>
      </c>
    </row>
    <row r="375" spans="17:45">
      <c r="Q375" s="97" t="s">
        <v>5069</v>
      </c>
      <c r="R375" s="93">
        <v>17220</v>
      </c>
      <c r="T375" s="19" t="s">
        <v>5588</v>
      </c>
      <c r="U375" s="19">
        <v>25901</v>
      </c>
      <c r="V375" s="115">
        <v>2258.9090000000001</v>
      </c>
      <c r="W375" s="115">
        <f t="shared" si="93"/>
        <v>58508002.009000003</v>
      </c>
      <c r="X375" s="263" t="s">
        <v>5111</v>
      </c>
      <c r="AH375" s="242">
        <v>89</v>
      </c>
      <c r="AI375" s="242" t="s">
        <v>4996</v>
      </c>
      <c r="AJ375" s="233">
        <v>245000</v>
      </c>
      <c r="AK375" s="242">
        <v>16</v>
      </c>
      <c r="AL375" s="242">
        <f t="shared" si="94"/>
        <v>606</v>
      </c>
      <c r="AM375" s="242">
        <f t="shared" si="95"/>
        <v>148470000</v>
      </c>
      <c r="AN375" s="242"/>
    </row>
    <row r="376" spans="17:45">
      <c r="Q376" s="97" t="s">
        <v>5071</v>
      </c>
      <c r="R376" s="93">
        <v>8249</v>
      </c>
      <c r="T376" s="19" t="s">
        <v>5590</v>
      </c>
      <c r="U376" s="19">
        <v>951</v>
      </c>
      <c r="V376" s="115">
        <v>2361.2150799999999</v>
      </c>
      <c r="W376" s="115">
        <f t="shared" si="93"/>
        <v>2245515.5410799999</v>
      </c>
      <c r="X376" s="263" t="s">
        <v>5111</v>
      </c>
      <c r="AH376" s="20">
        <v>90</v>
      </c>
      <c r="AI376" s="20" t="s">
        <v>5030</v>
      </c>
      <c r="AJ376" s="115">
        <v>312598</v>
      </c>
      <c r="AK376" s="20">
        <v>0</v>
      </c>
      <c r="AL376" s="20">
        <f t="shared" si="94"/>
        <v>590</v>
      </c>
      <c r="AM376" s="20">
        <f t="shared" si="95"/>
        <v>184432820</v>
      </c>
      <c r="AN376" s="20"/>
    </row>
    <row r="377" spans="17:45">
      <c r="Q377" s="97" t="s">
        <v>5071</v>
      </c>
      <c r="R377" s="93">
        <v>6937</v>
      </c>
      <c r="T377" s="19" t="s">
        <v>5592</v>
      </c>
      <c r="U377" s="19">
        <v>7622</v>
      </c>
      <c r="V377" s="115">
        <v>2414.6810999999998</v>
      </c>
      <c r="W377" s="115">
        <f t="shared" si="93"/>
        <v>18404699.3442</v>
      </c>
      <c r="X377" s="263" t="s">
        <v>5111</v>
      </c>
      <c r="AH377" s="20">
        <v>91</v>
      </c>
      <c r="AI377" s="20" t="s">
        <v>5030</v>
      </c>
      <c r="AJ377" s="115">
        <v>780000</v>
      </c>
      <c r="AK377" s="20">
        <v>0</v>
      </c>
      <c r="AL377" s="20">
        <f t="shared" si="94"/>
        <v>590</v>
      </c>
      <c r="AM377" s="20">
        <f t="shared" si="95"/>
        <v>460200000</v>
      </c>
      <c r="AN377" s="20"/>
      <c r="AR377" t="s">
        <v>25</v>
      </c>
    </row>
    <row r="378" spans="17:45">
      <c r="Q378" s="97" t="s">
        <v>5074</v>
      </c>
      <c r="R378" s="93">
        <v>4046552</v>
      </c>
      <c r="T378" s="19" t="s">
        <v>5592</v>
      </c>
      <c r="U378" s="19">
        <v>-282</v>
      </c>
      <c r="V378" s="115">
        <v>2414.6810999999998</v>
      </c>
      <c r="W378" s="115">
        <f t="shared" si="93"/>
        <v>-680940.07019999996</v>
      </c>
      <c r="X378" s="263" t="s">
        <v>5593</v>
      </c>
      <c r="AH378" s="192">
        <v>92</v>
      </c>
      <c r="AI378" s="192" t="s">
        <v>5030</v>
      </c>
      <c r="AJ378" s="193">
        <v>-300000</v>
      </c>
      <c r="AK378" s="192">
        <v>1</v>
      </c>
      <c r="AL378" s="192">
        <f t="shared" si="94"/>
        <v>590</v>
      </c>
      <c r="AM378" s="192">
        <f t="shared" si="95"/>
        <v>-177000000</v>
      </c>
      <c r="AN378" s="192"/>
    </row>
    <row r="379" spans="17:45">
      <c r="Q379" s="97" t="s">
        <v>5081</v>
      </c>
      <c r="R379" s="93">
        <v>-3884943</v>
      </c>
      <c r="S379" t="s">
        <v>25</v>
      </c>
      <c r="T379" s="19" t="s">
        <v>5592</v>
      </c>
      <c r="U379" s="19">
        <v>20162</v>
      </c>
      <c r="V379" s="115">
        <v>2414.6810999999998</v>
      </c>
      <c r="W379" s="115">
        <f t="shared" si="93"/>
        <v>48684800.338199995</v>
      </c>
      <c r="X379" s="263" t="s">
        <v>5594</v>
      </c>
      <c r="AH379" s="20">
        <v>93</v>
      </c>
      <c r="AI379" s="20" t="s">
        <v>4997</v>
      </c>
      <c r="AJ379" s="115">
        <v>300000</v>
      </c>
      <c r="AK379" s="20">
        <v>0</v>
      </c>
      <c r="AL379" s="20">
        <f t="shared" si="94"/>
        <v>589</v>
      </c>
      <c r="AM379" s="20">
        <f t="shared" si="95"/>
        <v>176700000</v>
      </c>
      <c r="AN379" s="20"/>
    </row>
    <row r="380" spans="17:45">
      <c r="Q380" s="97" t="s">
        <v>5107</v>
      </c>
      <c r="R380" s="93">
        <v>6022</v>
      </c>
      <c r="T380" s="19" t="s">
        <v>5592</v>
      </c>
      <c r="U380" s="19">
        <v>-20162</v>
      </c>
      <c r="V380" s="115">
        <v>2414.6810999999998</v>
      </c>
      <c r="W380" s="115">
        <f t="shared" si="93"/>
        <v>-48684800.338199995</v>
      </c>
      <c r="X380" s="263" t="s">
        <v>744</v>
      </c>
      <c r="AH380" s="20">
        <v>94</v>
      </c>
      <c r="AI380" s="20" t="s">
        <v>4997</v>
      </c>
      <c r="AJ380" s="115">
        <v>8660000</v>
      </c>
      <c r="AK380" s="20">
        <v>8</v>
      </c>
      <c r="AL380" s="20">
        <f t="shared" si="94"/>
        <v>589</v>
      </c>
      <c r="AM380" s="20">
        <f t="shared" si="95"/>
        <v>5100740000</v>
      </c>
      <c r="AN380" s="20"/>
    </row>
    <row r="381" spans="17:45">
      <c r="Q381" s="97" t="s">
        <v>5110</v>
      </c>
      <c r="R381" s="93">
        <v>400000</v>
      </c>
      <c r="T381" s="19" t="s">
        <v>5595</v>
      </c>
      <c r="U381" s="19">
        <v>977</v>
      </c>
      <c r="V381" s="115">
        <v>2317.971947</v>
      </c>
      <c r="W381" s="115">
        <f t="shared" si="93"/>
        <v>2264658.5922190002</v>
      </c>
      <c r="X381" s="263" t="s">
        <v>5111</v>
      </c>
      <c r="AH381" s="147">
        <v>95</v>
      </c>
      <c r="AI381" s="147" t="s">
        <v>5047</v>
      </c>
      <c r="AJ381" s="186">
        <v>200000</v>
      </c>
      <c r="AK381" s="147">
        <v>3</v>
      </c>
      <c r="AL381" s="147">
        <f t="shared" si="94"/>
        <v>581</v>
      </c>
      <c r="AM381" s="147">
        <f t="shared" si="95"/>
        <v>116200000</v>
      </c>
      <c r="AN381" s="147"/>
      <c r="AP381" t="s">
        <v>25</v>
      </c>
    </row>
    <row r="382" spans="17:45">
      <c r="Q382" s="97" t="s">
        <v>5110</v>
      </c>
      <c r="R382" s="93">
        <v>92847</v>
      </c>
      <c r="T382" s="19" t="s">
        <v>5597</v>
      </c>
      <c r="U382" s="19">
        <v>10280</v>
      </c>
      <c r="V382" s="115">
        <v>2225.429357</v>
      </c>
      <c r="W382" s="115">
        <f t="shared" si="93"/>
        <v>22877413.789960001</v>
      </c>
      <c r="X382" s="263" t="s">
        <v>5111</v>
      </c>
      <c r="AH382" s="147">
        <v>96</v>
      </c>
      <c r="AI382" s="147" t="s">
        <v>5050</v>
      </c>
      <c r="AJ382" s="186">
        <v>20000</v>
      </c>
      <c r="AK382" s="147">
        <v>1</v>
      </c>
      <c r="AL382" s="147">
        <f t="shared" si="94"/>
        <v>578</v>
      </c>
      <c r="AM382" s="147">
        <f t="shared" si="95"/>
        <v>11560000</v>
      </c>
      <c r="AN382" s="147"/>
    </row>
    <row r="383" spans="17:45">
      <c r="Q383" s="97" t="s">
        <v>5114</v>
      </c>
      <c r="R383" s="93">
        <v>-100000</v>
      </c>
      <c r="T383" s="19" t="s">
        <v>5600</v>
      </c>
      <c r="U383" s="19">
        <v>1022</v>
      </c>
      <c r="V383" s="115">
        <v>2311.6824240000001</v>
      </c>
      <c r="W383" s="115">
        <f t="shared" si="93"/>
        <v>2362539.4373280001</v>
      </c>
      <c r="X383" s="263" t="s">
        <v>5111</v>
      </c>
      <c r="AH383" s="20">
        <v>97</v>
      </c>
      <c r="AI383" s="20" t="s">
        <v>5060</v>
      </c>
      <c r="AJ383" s="115">
        <v>14340000</v>
      </c>
      <c r="AK383" s="20">
        <v>7</v>
      </c>
      <c r="AL383" s="20">
        <f t="shared" si="94"/>
        <v>577</v>
      </c>
      <c r="AM383" s="20">
        <f t="shared" si="95"/>
        <v>8274180000</v>
      </c>
      <c r="AN383" s="20"/>
    </row>
    <row r="384" spans="17:45">
      <c r="Q384" s="97" t="s">
        <v>5119</v>
      </c>
      <c r="R384" s="93">
        <v>10000000</v>
      </c>
      <c r="T384" s="19" t="s">
        <v>5601</v>
      </c>
      <c r="U384" s="19">
        <v>6818</v>
      </c>
      <c r="V384" s="115">
        <v>2352.988656</v>
      </c>
      <c r="W384" s="115">
        <f t="shared" si="93"/>
        <v>16042676.656608</v>
      </c>
      <c r="X384" s="263" t="s">
        <v>5111</v>
      </c>
      <c r="AH384" s="20">
        <v>98</v>
      </c>
      <c r="AI384" s="20" t="s">
        <v>5066</v>
      </c>
      <c r="AJ384" s="115">
        <v>10000000</v>
      </c>
      <c r="AK384" s="20">
        <v>6</v>
      </c>
      <c r="AL384" s="20">
        <f t="shared" si="94"/>
        <v>570</v>
      </c>
      <c r="AM384" s="20">
        <f t="shared" si="95"/>
        <v>5700000000</v>
      </c>
      <c r="AN384" s="20" t="s">
        <v>4678</v>
      </c>
    </row>
    <row r="385" spans="16:45">
      <c r="Q385" s="97" t="s">
        <v>5123</v>
      </c>
      <c r="R385" s="93">
        <v>-400000</v>
      </c>
      <c r="T385" s="19" t="s">
        <v>5602</v>
      </c>
      <c r="U385" s="19">
        <v>8023</v>
      </c>
      <c r="V385" s="115">
        <v>2293.8167079999998</v>
      </c>
      <c r="W385" s="115">
        <f t="shared" si="93"/>
        <v>18403291.448284</v>
      </c>
      <c r="X385" s="263" t="s">
        <v>5111</v>
      </c>
      <c r="AH385" s="20">
        <v>99</v>
      </c>
      <c r="AI385" s="20" t="s">
        <v>5071</v>
      </c>
      <c r="AJ385" s="115">
        <v>4033949</v>
      </c>
      <c r="AK385" s="20">
        <v>2</v>
      </c>
      <c r="AL385" s="20">
        <f t="shared" si="94"/>
        <v>564</v>
      </c>
      <c r="AM385" s="20">
        <f t="shared" si="95"/>
        <v>2275147236</v>
      </c>
      <c r="AN385" s="20" t="s">
        <v>5073</v>
      </c>
    </row>
    <row r="386" spans="16:45">
      <c r="Q386" s="97" t="s">
        <v>5125</v>
      </c>
      <c r="R386" s="93">
        <v>5649</v>
      </c>
      <c r="T386" s="19" t="s">
        <v>5605</v>
      </c>
      <c r="U386" s="19">
        <v>4666</v>
      </c>
      <c r="V386" s="115">
        <v>2263.4906230000001</v>
      </c>
      <c r="W386" s="115">
        <f t="shared" si="93"/>
        <v>10561447.246918</v>
      </c>
      <c r="X386" s="263" t="s">
        <v>5111</v>
      </c>
      <c r="AH386" s="147">
        <v>100</v>
      </c>
      <c r="AI386" s="147" t="s">
        <v>5077</v>
      </c>
      <c r="AJ386" s="186">
        <v>11500000</v>
      </c>
      <c r="AK386" s="147">
        <v>2</v>
      </c>
      <c r="AL386" s="147">
        <f t="shared" si="94"/>
        <v>562</v>
      </c>
      <c r="AM386" s="147">
        <f t="shared" si="95"/>
        <v>6463000000</v>
      </c>
      <c r="AN386" s="147" t="s">
        <v>5079</v>
      </c>
      <c r="AQ386" t="s">
        <v>25</v>
      </c>
    </row>
    <row r="387" spans="16:45">
      <c r="Q387" s="97" t="s">
        <v>5126</v>
      </c>
      <c r="R387" s="93">
        <v>460000</v>
      </c>
      <c r="T387" s="19" t="s">
        <v>5606</v>
      </c>
      <c r="U387" s="19">
        <v>542</v>
      </c>
      <c r="V387" s="115">
        <v>2263.4906230000001</v>
      </c>
      <c r="W387" s="115">
        <f t="shared" si="93"/>
        <v>1226811.9176660001</v>
      </c>
      <c r="X387" s="263" t="s">
        <v>5111</v>
      </c>
      <c r="AF387" s="94" t="s">
        <v>25</v>
      </c>
      <c r="AH387" s="147">
        <v>101</v>
      </c>
      <c r="AI387" s="147" t="s">
        <v>5081</v>
      </c>
      <c r="AJ387" s="186">
        <v>250000</v>
      </c>
      <c r="AK387" s="147">
        <v>3</v>
      </c>
      <c r="AL387" s="147">
        <f t="shared" si="94"/>
        <v>560</v>
      </c>
      <c r="AM387" s="147">
        <f t="shared" si="95"/>
        <v>140000000</v>
      </c>
      <c r="AN387" s="147"/>
    </row>
    <row r="388" spans="16:45">
      <c r="Q388" s="97" t="s">
        <v>5126</v>
      </c>
      <c r="R388" s="93">
        <v>1300000</v>
      </c>
      <c r="T388" s="19" t="s">
        <v>5607</v>
      </c>
      <c r="U388" s="19">
        <v>16629</v>
      </c>
      <c r="V388" s="115">
        <v>2367.7887540000002</v>
      </c>
      <c r="W388" s="115">
        <f t="shared" si="93"/>
        <v>39373959.190266006</v>
      </c>
      <c r="X388" s="263" t="s">
        <v>5111</v>
      </c>
      <c r="AH388" s="147">
        <v>102</v>
      </c>
      <c r="AI388" s="147" t="s">
        <v>5106</v>
      </c>
      <c r="AJ388" s="186">
        <v>6000000</v>
      </c>
      <c r="AK388" s="147">
        <v>1</v>
      </c>
      <c r="AL388" s="147">
        <f t="shared" si="94"/>
        <v>557</v>
      </c>
      <c r="AM388" s="147">
        <f t="shared" si="95"/>
        <v>3342000000</v>
      </c>
      <c r="AN388" s="147" t="s">
        <v>5079</v>
      </c>
      <c r="AS388" t="s">
        <v>25</v>
      </c>
    </row>
    <row r="389" spans="16:45">
      <c r="Q389" s="97" t="s">
        <v>977</v>
      </c>
      <c r="R389" s="93">
        <v>7300000</v>
      </c>
      <c r="T389" s="19" t="s">
        <v>5612</v>
      </c>
      <c r="U389" s="19">
        <v>11765</v>
      </c>
      <c r="V389" s="115">
        <v>2354.7375320000001</v>
      </c>
      <c r="W389" s="115">
        <f t="shared" si="93"/>
        <v>27703487.063980002</v>
      </c>
      <c r="X389" s="263" t="s">
        <v>5111</v>
      </c>
      <c r="AH389" s="147">
        <v>103</v>
      </c>
      <c r="AI389" s="147" t="s">
        <v>5107</v>
      </c>
      <c r="AJ389" s="186">
        <v>1500000</v>
      </c>
      <c r="AK389" s="147">
        <v>6</v>
      </c>
      <c r="AL389" s="147">
        <f t="shared" si="94"/>
        <v>556</v>
      </c>
      <c r="AM389" s="147">
        <f t="shared" si="95"/>
        <v>834000000</v>
      </c>
      <c r="AN389" s="147" t="s">
        <v>5079</v>
      </c>
    </row>
    <row r="390" spans="16:45">
      <c r="Q390" s="97" t="s">
        <v>4256</v>
      </c>
      <c r="R390" s="93">
        <v>21203</v>
      </c>
      <c r="T390" s="19" t="s">
        <v>5613</v>
      </c>
      <c r="U390" s="19">
        <v>3672</v>
      </c>
      <c r="V390" s="115">
        <v>2379.873826</v>
      </c>
      <c r="W390" s="115">
        <f t="shared" si="93"/>
        <v>8738896.6890719999</v>
      </c>
      <c r="X390" s="263" t="s">
        <v>5111</v>
      </c>
      <c r="Z390" t="s">
        <v>25</v>
      </c>
      <c r="AH390" s="20">
        <v>104</v>
      </c>
      <c r="AI390" s="20" t="s">
        <v>960</v>
      </c>
      <c r="AJ390" s="115">
        <v>-3960043</v>
      </c>
      <c r="AK390" s="20">
        <v>2</v>
      </c>
      <c r="AL390" s="20">
        <f t="shared" si="94"/>
        <v>550</v>
      </c>
      <c r="AM390" s="20">
        <f t="shared" si="95"/>
        <v>-2178023650</v>
      </c>
      <c r="AN390" s="20"/>
    </row>
    <row r="391" spans="16:45">
      <c r="P391" t="s">
        <v>25</v>
      </c>
      <c r="Q391" s="97" t="s">
        <v>5124</v>
      </c>
      <c r="R391" s="93">
        <v>34550</v>
      </c>
      <c r="T391" s="19" t="s">
        <v>4185</v>
      </c>
      <c r="U391" s="19">
        <v>140</v>
      </c>
      <c r="V391" s="115">
        <v>2487.154767</v>
      </c>
      <c r="W391" s="115">
        <f t="shared" si="93"/>
        <v>348201.66738</v>
      </c>
      <c r="X391" s="263" t="s">
        <v>5111</v>
      </c>
      <c r="AH391" s="20">
        <v>105</v>
      </c>
      <c r="AI391" s="20" t="s">
        <v>5125</v>
      </c>
      <c r="AJ391" s="115">
        <v>230000</v>
      </c>
      <c r="AK391" s="20">
        <v>0</v>
      </c>
      <c r="AL391" s="20">
        <f t="shared" si="94"/>
        <v>548</v>
      </c>
      <c r="AM391" s="20">
        <f t="shared" si="95"/>
        <v>126040000</v>
      </c>
      <c r="AN391" s="20"/>
    </row>
    <row r="392" spans="16:45">
      <c r="Q392" s="97" t="s">
        <v>5161</v>
      </c>
      <c r="R392" s="93">
        <v>-2134406</v>
      </c>
      <c r="T392" s="19" t="s">
        <v>5615</v>
      </c>
      <c r="U392" s="19">
        <v>1616</v>
      </c>
      <c r="V392" s="115">
        <v>2573.0760479999999</v>
      </c>
      <c r="W392" s="115">
        <f t="shared" si="93"/>
        <v>4158090.8935679998</v>
      </c>
      <c r="X392" s="263" t="s">
        <v>5111</v>
      </c>
      <c r="AH392" s="147">
        <v>106</v>
      </c>
      <c r="AI392" s="147" t="s">
        <v>5125</v>
      </c>
      <c r="AJ392" s="186">
        <v>230000</v>
      </c>
      <c r="AK392" s="147">
        <v>1</v>
      </c>
      <c r="AL392" s="147">
        <f t="shared" si="94"/>
        <v>548</v>
      </c>
      <c r="AM392" s="147">
        <f t="shared" si="95"/>
        <v>126040000</v>
      </c>
      <c r="AN392" s="147"/>
    </row>
    <row r="393" spans="16:45">
      <c r="Q393" s="97" t="s">
        <v>5164</v>
      </c>
      <c r="R393" s="93">
        <v>-618906</v>
      </c>
      <c r="T393" s="187" t="s">
        <v>5616</v>
      </c>
      <c r="U393" s="187">
        <v>5682</v>
      </c>
      <c r="V393" s="186">
        <v>2639.970566</v>
      </c>
      <c r="W393" s="186">
        <f t="shared" si="93"/>
        <v>15000312.756012</v>
      </c>
      <c r="X393" s="262" t="s">
        <v>5861</v>
      </c>
      <c r="AH393" s="147">
        <v>107</v>
      </c>
      <c r="AI393" s="147" t="s">
        <v>5126</v>
      </c>
      <c r="AJ393" s="186">
        <v>500000</v>
      </c>
      <c r="AK393" s="147">
        <v>1</v>
      </c>
      <c r="AL393" s="147">
        <f t="shared" si="94"/>
        <v>547</v>
      </c>
      <c r="AM393" s="147">
        <f t="shared" si="95"/>
        <v>273500000</v>
      </c>
      <c r="AN393" s="147"/>
      <c r="AR393" t="s">
        <v>25</v>
      </c>
    </row>
    <row r="394" spans="16:45" ht="30">
      <c r="Q394" s="97" t="s">
        <v>5206</v>
      </c>
      <c r="R394" s="93">
        <v>-54615</v>
      </c>
      <c r="T394" s="187" t="s">
        <v>5616</v>
      </c>
      <c r="U394" s="187">
        <v>-122</v>
      </c>
      <c r="V394" s="186">
        <v>2639.970566</v>
      </c>
      <c r="W394" s="186">
        <f t="shared" si="93"/>
        <v>-322076.40905199997</v>
      </c>
      <c r="X394" s="262" t="s">
        <v>5898</v>
      </c>
      <c r="Y394" t="s">
        <v>25</v>
      </c>
      <c r="AH394" s="20">
        <v>108</v>
      </c>
      <c r="AI394" s="20" t="s">
        <v>5129</v>
      </c>
      <c r="AJ394" s="115">
        <v>-880000</v>
      </c>
      <c r="AK394" s="20">
        <v>4</v>
      </c>
      <c r="AL394" s="20">
        <f t="shared" si="94"/>
        <v>546</v>
      </c>
      <c r="AM394" s="20">
        <f t="shared" si="95"/>
        <v>-480480000</v>
      </c>
      <c r="AN394" s="20"/>
    </row>
    <row r="395" spans="16:45">
      <c r="Q395" s="97" t="s">
        <v>5251</v>
      </c>
      <c r="R395" s="93">
        <v>18000000</v>
      </c>
      <c r="T395" s="19" t="s">
        <v>5616</v>
      </c>
      <c r="U395" s="19">
        <v>2272</v>
      </c>
      <c r="V395" s="115">
        <v>2639.970566</v>
      </c>
      <c r="W395" s="115">
        <f t="shared" si="93"/>
        <v>5998013.1259519998</v>
      </c>
      <c r="X395" s="263" t="s">
        <v>5625</v>
      </c>
      <c r="AA395" t="s">
        <v>25</v>
      </c>
      <c r="AH395" s="192">
        <v>109</v>
      </c>
      <c r="AI395" s="192" t="s">
        <v>5133</v>
      </c>
      <c r="AJ395" s="193">
        <v>873000</v>
      </c>
      <c r="AK395" s="192">
        <v>0</v>
      </c>
      <c r="AL395" s="192">
        <f t="shared" si="94"/>
        <v>542</v>
      </c>
      <c r="AM395" s="192">
        <f t="shared" si="95"/>
        <v>473166000</v>
      </c>
      <c r="AN395" s="192" t="s">
        <v>5079</v>
      </c>
    </row>
    <row r="396" spans="16:45" ht="30">
      <c r="Q396" s="97" t="s">
        <v>5258</v>
      </c>
      <c r="R396" s="93">
        <v>20000000</v>
      </c>
      <c r="T396" s="19" t="s">
        <v>5616</v>
      </c>
      <c r="U396" s="19">
        <v>4434</v>
      </c>
      <c r="V396" s="115">
        <v>2639.970566</v>
      </c>
      <c r="W396" s="115">
        <f t="shared" si="93"/>
        <v>11705629.489644</v>
      </c>
      <c r="X396" s="263" t="s">
        <v>5626</v>
      </c>
      <c r="AH396" s="20">
        <v>110</v>
      </c>
      <c r="AI396" s="20" t="s">
        <v>5133</v>
      </c>
      <c r="AJ396" s="115">
        <v>127000</v>
      </c>
      <c r="AK396" s="20">
        <v>0</v>
      </c>
      <c r="AL396" s="20">
        <f t="shared" si="94"/>
        <v>542</v>
      </c>
      <c r="AM396" s="20">
        <f t="shared" si="95"/>
        <v>68834000</v>
      </c>
      <c r="AN396" s="20" t="s">
        <v>5079</v>
      </c>
    </row>
    <row r="397" spans="16:45">
      <c r="Q397" s="97" t="s">
        <v>5333</v>
      </c>
      <c r="R397" s="93">
        <v>27694196</v>
      </c>
      <c r="T397" s="19" t="s">
        <v>5616</v>
      </c>
      <c r="U397" s="19">
        <v>2349</v>
      </c>
      <c r="V397" s="115">
        <v>2639.970566</v>
      </c>
      <c r="W397" s="115">
        <f t="shared" si="93"/>
        <v>6201290.859534</v>
      </c>
      <c r="X397" s="263" t="s">
        <v>5627</v>
      </c>
      <c r="AH397" s="20">
        <v>111</v>
      </c>
      <c r="AI397" s="20" t="s">
        <v>5133</v>
      </c>
      <c r="AJ397" s="115">
        <v>73000</v>
      </c>
      <c r="AK397" s="20">
        <v>1</v>
      </c>
      <c r="AL397" s="20">
        <f t="shared" si="94"/>
        <v>542</v>
      </c>
      <c r="AM397" s="20">
        <f t="shared" si="95"/>
        <v>39566000</v>
      </c>
      <c r="AN397" s="20"/>
    </row>
    <row r="398" spans="16:45" ht="21" customHeight="1">
      <c r="Q398" s="97" t="s">
        <v>5334</v>
      </c>
      <c r="R398" s="93">
        <v>7211722</v>
      </c>
      <c r="T398" s="19" t="s">
        <v>5616</v>
      </c>
      <c r="U398" s="19">
        <v>-568</v>
      </c>
      <c r="V398" s="115">
        <v>2639.970566</v>
      </c>
      <c r="W398" s="115">
        <f t="shared" si="93"/>
        <v>-1499503.2814879999</v>
      </c>
      <c r="X398" s="263" t="s">
        <v>5628</v>
      </c>
      <c r="Y398" t="s">
        <v>25</v>
      </c>
      <c r="AH398" s="20">
        <v>112</v>
      </c>
      <c r="AI398" s="20" t="s">
        <v>977</v>
      </c>
      <c r="AJ398" s="115">
        <v>4300000</v>
      </c>
      <c r="AK398" s="20">
        <v>1</v>
      </c>
      <c r="AL398" s="20">
        <f t="shared" si="94"/>
        <v>541</v>
      </c>
      <c r="AM398" s="20">
        <f t="shared" si="95"/>
        <v>2326300000</v>
      </c>
      <c r="AN398" s="20"/>
    </row>
    <row r="399" spans="16:45" ht="30">
      <c r="Q399" s="97" t="s">
        <v>5338</v>
      </c>
      <c r="R399" s="93">
        <v>8481864</v>
      </c>
      <c r="T399" s="19" t="s">
        <v>5616</v>
      </c>
      <c r="U399" s="19">
        <v>568</v>
      </c>
      <c r="V399" s="115">
        <v>2639.970566</v>
      </c>
      <c r="W399" s="115">
        <f t="shared" si="93"/>
        <v>1499503.2814879999</v>
      </c>
      <c r="X399" s="263" t="s">
        <v>5628</v>
      </c>
      <c r="AH399" s="20">
        <v>113</v>
      </c>
      <c r="AI399" s="20" t="s">
        <v>5009</v>
      </c>
      <c r="AJ399" s="115">
        <v>1600000</v>
      </c>
      <c r="AK399" s="20">
        <v>0</v>
      </c>
      <c r="AL399" s="20">
        <f t="shared" si="94"/>
        <v>540</v>
      </c>
      <c r="AM399" s="20">
        <f t="shared" si="95"/>
        <v>864000000</v>
      </c>
      <c r="AN399" s="20"/>
    </row>
    <row r="400" spans="16:45" ht="18" customHeight="1">
      <c r="Q400" s="97" t="s">
        <v>5343</v>
      </c>
      <c r="R400" s="93">
        <v>1558697</v>
      </c>
      <c r="T400" s="19" t="s">
        <v>5619</v>
      </c>
      <c r="U400" s="19">
        <v>4589</v>
      </c>
      <c r="V400" s="115">
        <v>2639.970566</v>
      </c>
      <c r="W400" s="115">
        <f t="shared" si="93"/>
        <v>12114824.927374</v>
      </c>
      <c r="X400" s="263" t="s">
        <v>5629</v>
      </c>
      <c r="Y400" t="s">
        <v>25</v>
      </c>
      <c r="AH400" s="20">
        <v>114</v>
      </c>
      <c r="AI400" s="20" t="s">
        <v>4256</v>
      </c>
      <c r="AJ400" s="115">
        <v>-10000000</v>
      </c>
      <c r="AK400" s="20">
        <v>1</v>
      </c>
      <c r="AL400" s="20">
        <f t="shared" si="94"/>
        <v>540</v>
      </c>
      <c r="AM400" s="20">
        <f t="shared" si="95"/>
        <v>-5400000000</v>
      </c>
      <c r="AN400" s="20" t="s">
        <v>5139</v>
      </c>
    </row>
    <row r="401" spans="17:45" ht="21" customHeight="1">
      <c r="Q401" s="97" t="s">
        <v>5344</v>
      </c>
      <c r="R401" s="93">
        <v>9042009</v>
      </c>
      <c r="S401" t="s">
        <v>25</v>
      </c>
      <c r="T401" s="19" t="s">
        <v>5619</v>
      </c>
      <c r="U401" s="19">
        <v>41959</v>
      </c>
      <c r="V401" s="115">
        <v>2639.970566</v>
      </c>
      <c r="W401" s="115">
        <f t="shared" ref="W401:W519" si="96">U401*V401</f>
        <v>110770524.97879399</v>
      </c>
      <c r="X401" s="263" t="s">
        <v>5111</v>
      </c>
      <c r="AD401" t="s">
        <v>25</v>
      </c>
      <c r="AH401" s="20">
        <v>115</v>
      </c>
      <c r="AI401" s="20" t="s">
        <v>5138</v>
      </c>
      <c r="AJ401" s="115">
        <v>571000</v>
      </c>
      <c r="AK401" s="20">
        <v>4</v>
      </c>
      <c r="AL401" s="20">
        <f t="shared" si="94"/>
        <v>539</v>
      </c>
      <c r="AM401" s="20">
        <f t="shared" si="95"/>
        <v>307769000</v>
      </c>
      <c r="AN401" s="20"/>
    </row>
    <row r="402" spans="17:45">
      <c r="Q402" s="97" t="s">
        <v>5348</v>
      </c>
      <c r="R402" s="93">
        <v>94969</v>
      </c>
      <c r="T402" s="19" t="s">
        <v>5631</v>
      </c>
      <c r="U402" s="19">
        <v>2486</v>
      </c>
      <c r="V402" s="115">
        <v>2688.7156100000002</v>
      </c>
      <c r="W402" s="115">
        <f t="shared" si="96"/>
        <v>6684147.0064600008</v>
      </c>
      <c r="X402" s="263" t="s">
        <v>5111</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5348</v>
      </c>
      <c r="R403" s="93">
        <v>40000000</v>
      </c>
      <c r="T403" s="19" t="s">
        <v>5634</v>
      </c>
      <c r="U403" s="19">
        <v>652</v>
      </c>
      <c r="V403" s="115">
        <v>2801.4344030000002</v>
      </c>
      <c r="W403" s="115">
        <f t="shared" si="96"/>
        <v>1826535.2307560001</v>
      </c>
      <c r="X403" s="263" t="s">
        <v>5111</v>
      </c>
      <c r="AH403" s="147">
        <v>117</v>
      </c>
      <c r="AI403" s="147" t="s">
        <v>5146</v>
      </c>
      <c r="AJ403" s="186">
        <v>50000</v>
      </c>
      <c r="AK403" s="147">
        <v>7</v>
      </c>
      <c r="AL403" s="147">
        <f t="shared" si="97"/>
        <v>532</v>
      </c>
      <c r="AM403" s="147">
        <f t="shared" si="98"/>
        <v>26600000</v>
      </c>
      <c r="AN403" s="147"/>
    </row>
    <row r="404" spans="17:45">
      <c r="Q404" s="97" t="s">
        <v>5349</v>
      </c>
      <c r="R404" s="93">
        <v>2806274</v>
      </c>
      <c r="T404" s="187" t="s">
        <v>5634</v>
      </c>
      <c r="U404" s="187">
        <v>-536</v>
      </c>
      <c r="V404" s="186">
        <v>2801.4344030000002</v>
      </c>
      <c r="W404" s="186">
        <f t="shared" si="96"/>
        <v>-1501568.8400080001</v>
      </c>
      <c r="X404" s="262" t="s">
        <v>5646</v>
      </c>
      <c r="AH404" s="20">
        <v>118</v>
      </c>
      <c r="AI404" s="20" t="s">
        <v>5154</v>
      </c>
      <c r="AJ404" s="115">
        <v>-500000</v>
      </c>
      <c r="AK404" s="20">
        <v>12</v>
      </c>
      <c r="AL404" s="20">
        <f t="shared" si="97"/>
        <v>525</v>
      </c>
      <c r="AM404" s="20">
        <f t="shared" si="98"/>
        <v>-262500000</v>
      </c>
      <c r="AN404" s="20"/>
    </row>
    <row r="405" spans="17:45">
      <c r="Q405" s="97" t="s">
        <v>5357</v>
      </c>
      <c r="R405" s="93">
        <v>1331702</v>
      </c>
      <c r="T405" s="19" t="s">
        <v>5638</v>
      </c>
      <c r="U405" s="19">
        <v>1351</v>
      </c>
      <c r="V405" s="115">
        <v>2647.94</v>
      </c>
      <c r="W405" s="115">
        <f t="shared" si="96"/>
        <v>3577366.94</v>
      </c>
      <c r="X405" s="263" t="s">
        <v>5111</v>
      </c>
      <c r="AH405" s="147">
        <v>119</v>
      </c>
      <c r="AI405" s="147" t="s">
        <v>976</v>
      </c>
      <c r="AJ405" s="186">
        <v>-50000</v>
      </c>
      <c r="AK405" s="147">
        <v>0</v>
      </c>
      <c r="AL405" s="147">
        <f t="shared" si="97"/>
        <v>513</v>
      </c>
      <c r="AM405" s="147">
        <f t="shared" si="98"/>
        <v>-25650000</v>
      </c>
      <c r="AN405" s="147"/>
    </row>
    <row r="406" spans="17:45">
      <c r="Q406" s="97" t="s">
        <v>5391</v>
      </c>
      <c r="R406" s="93">
        <v>851238</v>
      </c>
      <c r="T406" s="19" t="s">
        <v>5640</v>
      </c>
      <c r="U406" s="19">
        <v>8402</v>
      </c>
      <c r="V406" s="115">
        <v>2527.8539839999999</v>
      </c>
      <c r="W406" s="115">
        <f t="shared" si="96"/>
        <v>21239029.173567999</v>
      </c>
      <c r="X406" s="263" t="s">
        <v>5111</v>
      </c>
      <c r="AH406" s="20">
        <v>120</v>
      </c>
      <c r="AI406" s="20" t="s">
        <v>976</v>
      </c>
      <c r="AJ406" s="115">
        <v>-50000</v>
      </c>
      <c r="AK406" s="20">
        <v>28</v>
      </c>
      <c r="AL406" s="20">
        <f t="shared" si="97"/>
        <v>513</v>
      </c>
      <c r="AM406" s="20">
        <f t="shared" si="98"/>
        <v>-25650000</v>
      </c>
      <c r="AN406" s="20"/>
    </row>
    <row r="407" spans="17:45">
      <c r="Q407" s="97" t="s">
        <v>5435</v>
      </c>
      <c r="R407" s="93">
        <v>652592</v>
      </c>
      <c r="T407" s="19" t="s">
        <v>5643</v>
      </c>
      <c r="U407" s="19">
        <v>98141</v>
      </c>
      <c r="V407" s="115">
        <v>2475.593813</v>
      </c>
      <c r="W407" s="115">
        <f t="shared" si="96"/>
        <v>242957252.40163299</v>
      </c>
      <c r="X407" s="263" t="s">
        <v>5111</v>
      </c>
      <c r="AH407" s="20">
        <v>121</v>
      </c>
      <c r="AI407" s="20" t="s">
        <v>5195</v>
      </c>
      <c r="AJ407" s="115">
        <v>-3020625</v>
      </c>
      <c r="AK407" s="20">
        <v>18</v>
      </c>
      <c r="AL407" s="20">
        <f t="shared" si="97"/>
        <v>485</v>
      </c>
      <c r="AM407" s="20">
        <f t="shared" si="98"/>
        <v>-1465003125</v>
      </c>
      <c r="AN407" s="20"/>
    </row>
    <row r="408" spans="17:45">
      <c r="Q408" s="97" t="s">
        <v>5436</v>
      </c>
      <c r="R408" s="93">
        <v>554139</v>
      </c>
      <c r="T408" s="19" t="s">
        <v>5647</v>
      </c>
      <c r="U408" s="19">
        <v>2910</v>
      </c>
      <c r="V408" s="115">
        <v>2528.240988</v>
      </c>
      <c r="W408" s="115">
        <f t="shared" si="96"/>
        <v>7357181.2750800001</v>
      </c>
      <c r="X408" s="263" t="s">
        <v>5111</v>
      </c>
      <c r="Z408" t="s">
        <v>25</v>
      </c>
      <c r="AH408" s="20">
        <v>122</v>
      </c>
      <c r="AI408" s="20" t="s">
        <v>5206</v>
      </c>
      <c r="AJ408" s="115">
        <v>18000000</v>
      </c>
      <c r="AK408" s="20">
        <v>19</v>
      </c>
      <c r="AL408" s="20">
        <f t="shared" si="97"/>
        <v>467</v>
      </c>
      <c r="AM408" s="20">
        <f t="shared" si="98"/>
        <v>8406000000</v>
      </c>
      <c r="AN408" s="20"/>
    </row>
    <row r="409" spans="17:45">
      <c r="Q409" s="97" t="s">
        <v>5437</v>
      </c>
      <c r="R409" s="93">
        <v>70373089</v>
      </c>
      <c r="T409" s="19" t="s">
        <v>5649</v>
      </c>
      <c r="U409" s="19">
        <v>5652</v>
      </c>
      <c r="V409" s="115">
        <v>2645.3312000000001</v>
      </c>
      <c r="W409" s="115">
        <f t="shared" si="96"/>
        <v>14951411.942400001</v>
      </c>
      <c r="X409" s="263" t="s">
        <v>5111</v>
      </c>
      <c r="AH409" s="20">
        <v>123</v>
      </c>
      <c r="AI409" s="20" t="s">
        <v>5233</v>
      </c>
      <c r="AJ409" s="115">
        <v>2000000</v>
      </c>
      <c r="AK409" s="20">
        <v>6</v>
      </c>
      <c r="AL409" s="20">
        <f t="shared" si="97"/>
        <v>448</v>
      </c>
      <c r="AM409" s="20">
        <f t="shared" si="98"/>
        <v>896000000</v>
      </c>
      <c r="AN409" s="20"/>
    </row>
    <row r="410" spans="17:45">
      <c r="Q410" s="97" t="s">
        <v>5438</v>
      </c>
      <c r="R410" s="93">
        <v>1219655</v>
      </c>
      <c r="T410" s="19" t="s">
        <v>5653</v>
      </c>
      <c r="U410" s="19">
        <v>18764</v>
      </c>
      <c r="V410" s="115">
        <v>2554.2639829999998</v>
      </c>
      <c r="W410" s="115">
        <f t="shared" si="96"/>
        <v>47928209.377011999</v>
      </c>
      <c r="X410" s="263" t="s">
        <v>5111</v>
      </c>
      <c r="AA410" t="s">
        <v>25</v>
      </c>
      <c r="AH410" s="147">
        <v>124</v>
      </c>
      <c r="AI410" s="147" t="s">
        <v>5242</v>
      </c>
      <c r="AJ410" s="186">
        <v>40000000</v>
      </c>
      <c r="AK410" s="147">
        <v>6</v>
      </c>
      <c r="AL410" s="147">
        <f t="shared" si="97"/>
        <v>442</v>
      </c>
      <c r="AM410" s="147">
        <f t="shared" si="98"/>
        <v>17680000000</v>
      </c>
      <c r="AN410" s="147"/>
    </row>
    <row r="411" spans="17:45">
      <c r="Q411" s="97" t="s">
        <v>5439</v>
      </c>
      <c r="R411" s="93">
        <v>15350146</v>
      </c>
      <c r="T411" s="19" t="s">
        <v>5655</v>
      </c>
      <c r="U411" s="19">
        <v>930</v>
      </c>
      <c r="V411" s="115">
        <v>2453.3287089999999</v>
      </c>
      <c r="W411" s="115">
        <f t="shared" si="96"/>
        <v>2281595.69937</v>
      </c>
      <c r="X411" s="263" t="s">
        <v>5111</v>
      </c>
      <c r="AH411" s="20">
        <v>125</v>
      </c>
      <c r="AI411" s="20" t="s">
        <v>5251</v>
      </c>
      <c r="AJ411" s="115">
        <v>200000</v>
      </c>
      <c r="AK411" s="20">
        <v>0</v>
      </c>
      <c r="AL411" s="20">
        <f t="shared" si="97"/>
        <v>436</v>
      </c>
      <c r="AM411" s="20">
        <f t="shared" si="98"/>
        <v>87200000</v>
      </c>
      <c r="AN411" s="20"/>
    </row>
    <row r="412" spans="17:45">
      <c r="Q412" s="97" t="s">
        <v>5443</v>
      </c>
      <c r="R412" s="93">
        <v>121018</v>
      </c>
      <c r="T412" s="19" t="s">
        <v>5657</v>
      </c>
      <c r="U412" s="19">
        <v>1167</v>
      </c>
      <c r="V412" s="115">
        <v>2540.6307069999998</v>
      </c>
      <c r="W412" s="115">
        <f t="shared" si="96"/>
        <v>2964916.035069</v>
      </c>
      <c r="X412" s="263" t="s">
        <v>5111</v>
      </c>
      <c r="AA412" t="s">
        <v>25</v>
      </c>
      <c r="AH412" s="147">
        <v>126</v>
      </c>
      <c r="AI412" s="147" t="s">
        <v>5251</v>
      </c>
      <c r="AJ412" s="186">
        <v>200000</v>
      </c>
      <c r="AK412" s="147">
        <v>1</v>
      </c>
      <c r="AL412" s="147">
        <f t="shared" si="97"/>
        <v>436</v>
      </c>
      <c r="AM412" s="147">
        <f t="shared" si="98"/>
        <v>87200000</v>
      </c>
      <c r="AN412" s="147"/>
    </row>
    <row r="413" spans="17:45">
      <c r="Q413" s="97" t="s">
        <v>5455</v>
      </c>
      <c r="R413" s="93">
        <v>1024993</v>
      </c>
      <c r="T413" s="19" t="s">
        <v>5658</v>
      </c>
      <c r="U413" s="19">
        <v>2538</v>
      </c>
      <c r="V413" s="115">
        <v>2545.5277489999999</v>
      </c>
      <c r="W413" s="115">
        <f t="shared" si="96"/>
        <v>6460549.4269619994</v>
      </c>
      <c r="X413" s="263" t="s">
        <v>5111</v>
      </c>
      <c r="Z413" t="s">
        <v>25</v>
      </c>
      <c r="AA413" t="s">
        <v>25</v>
      </c>
      <c r="AH413" s="20">
        <v>127</v>
      </c>
      <c r="AI413" s="20" t="s">
        <v>5254</v>
      </c>
      <c r="AJ413" s="115">
        <v>50000</v>
      </c>
      <c r="AK413" s="20">
        <v>4</v>
      </c>
      <c r="AL413" s="20">
        <f t="shared" si="97"/>
        <v>435</v>
      </c>
      <c r="AM413" s="20">
        <f t="shared" si="98"/>
        <v>21750000</v>
      </c>
      <c r="AN413" s="20"/>
      <c r="AR413" t="s">
        <v>25</v>
      </c>
    </row>
    <row r="414" spans="17:45">
      <c r="Q414" s="97" t="s">
        <v>5456</v>
      </c>
      <c r="R414" s="93">
        <v>1948077</v>
      </c>
      <c r="T414" s="19" t="s">
        <v>5660</v>
      </c>
      <c r="U414" s="19">
        <v>2106</v>
      </c>
      <c r="V414" s="115">
        <v>2474.9857059999999</v>
      </c>
      <c r="W414" s="115">
        <f t="shared" si="96"/>
        <v>5212319.8968359996</v>
      </c>
      <c r="X414" s="263" t="s">
        <v>5111</v>
      </c>
      <c r="AH414" s="20">
        <v>128</v>
      </c>
      <c r="AI414" s="20" t="s">
        <v>5256</v>
      </c>
      <c r="AJ414" s="115">
        <v>100000</v>
      </c>
      <c r="AK414" s="20">
        <v>9</v>
      </c>
      <c r="AL414" s="20">
        <f t="shared" ref="AL414:AL424" si="99">AK414+AL415</f>
        <v>431</v>
      </c>
      <c r="AM414" s="20">
        <f t="shared" ref="AM414:AM424" si="100">AJ414*AL414</f>
        <v>43100000</v>
      </c>
      <c r="AN414" s="20"/>
    </row>
    <row r="415" spans="17:45">
      <c r="Q415" s="97" t="s">
        <v>5457</v>
      </c>
      <c r="R415" s="93">
        <v>50000120</v>
      </c>
      <c r="T415" s="19" t="s">
        <v>5663</v>
      </c>
      <c r="U415" s="19">
        <v>1801</v>
      </c>
      <c r="V415" s="115">
        <v>2512.2134809999998</v>
      </c>
      <c r="W415" s="115">
        <f t="shared" si="96"/>
        <v>4524496.4792809999</v>
      </c>
      <c r="X415" s="263" t="s">
        <v>5111</v>
      </c>
      <c r="AH415" s="20">
        <v>129</v>
      </c>
      <c r="AI415" s="20" t="s">
        <v>5272</v>
      </c>
      <c r="AJ415" s="115">
        <v>-550000</v>
      </c>
      <c r="AK415" s="20">
        <v>5</v>
      </c>
      <c r="AL415" s="20">
        <f t="shared" si="99"/>
        <v>422</v>
      </c>
      <c r="AM415" s="20">
        <f t="shared" si="100"/>
        <v>-232100000</v>
      </c>
      <c r="AN415" s="20"/>
      <c r="AS415" t="s">
        <v>25</v>
      </c>
    </row>
    <row r="416" spans="17:45">
      <c r="Q416" s="97" t="s">
        <v>5480</v>
      </c>
      <c r="R416" s="93">
        <v>20000055</v>
      </c>
      <c r="T416" s="19" t="s">
        <v>5665</v>
      </c>
      <c r="U416" s="19">
        <v>9184</v>
      </c>
      <c r="V416" s="115">
        <v>2489.76919</v>
      </c>
      <c r="W416" s="115">
        <f t="shared" si="96"/>
        <v>22866040.240959998</v>
      </c>
      <c r="X416" s="263" t="s">
        <v>5111</v>
      </c>
      <c r="AH416" s="20">
        <v>130</v>
      </c>
      <c r="AI416" s="20" t="s">
        <v>5277</v>
      </c>
      <c r="AJ416" s="115">
        <v>-29686490</v>
      </c>
      <c r="AK416" s="20">
        <v>1</v>
      </c>
      <c r="AL416" s="20">
        <f t="shared" si="99"/>
        <v>417</v>
      </c>
      <c r="AM416" s="20">
        <f t="shared" si="100"/>
        <v>-12379266330</v>
      </c>
      <c r="AN416" s="20"/>
    </row>
    <row r="417" spans="17:45">
      <c r="Q417" s="97" t="s">
        <v>5481</v>
      </c>
      <c r="R417" s="93">
        <v>5745697</v>
      </c>
      <c r="T417" s="19" t="s">
        <v>5667</v>
      </c>
      <c r="U417" s="19">
        <v>6259</v>
      </c>
      <c r="V417" s="115">
        <v>2453.954988</v>
      </c>
      <c r="W417" s="115">
        <f t="shared" si="96"/>
        <v>15359304.269892</v>
      </c>
      <c r="X417" s="263" t="s">
        <v>5111</v>
      </c>
      <c r="Y417" t="s">
        <v>25</v>
      </c>
      <c r="AH417" s="20">
        <v>131</v>
      </c>
      <c r="AI417" s="20" t="s">
        <v>5285</v>
      </c>
      <c r="AJ417" s="115">
        <v>-9000000</v>
      </c>
      <c r="AK417" s="20">
        <v>8</v>
      </c>
      <c r="AL417" s="20">
        <f t="shared" si="99"/>
        <v>416</v>
      </c>
      <c r="AM417" s="20">
        <f t="shared" si="100"/>
        <v>-3744000000</v>
      </c>
      <c r="AN417" s="20"/>
      <c r="AR417" t="s">
        <v>25</v>
      </c>
      <c r="AS417" t="s">
        <v>25</v>
      </c>
    </row>
    <row r="418" spans="17:45">
      <c r="Q418" s="97" t="s">
        <v>5482</v>
      </c>
      <c r="R418" s="93">
        <v>908158</v>
      </c>
      <c r="T418" s="19" t="s">
        <v>5669</v>
      </c>
      <c r="U418" s="19">
        <v>1223</v>
      </c>
      <c r="V418" s="115">
        <v>2345.4686710000001</v>
      </c>
      <c r="W418" s="115">
        <f t="shared" si="96"/>
        <v>2868508.1846330003</v>
      </c>
      <c r="X418" s="263" t="s">
        <v>5111</v>
      </c>
      <c r="AH418" s="20">
        <v>132</v>
      </c>
      <c r="AI418" s="20" t="s">
        <v>5329</v>
      </c>
      <c r="AJ418" s="115">
        <v>810000</v>
      </c>
      <c r="AK418" s="20">
        <v>2</v>
      </c>
      <c r="AL418" s="20">
        <f t="shared" si="99"/>
        <v>408</v>
      </c>
      <c r="AM418" s="20">
        <f t="shared" si="100"/>
        <v>330480000</v>
      </c>
      <c r="AN418" s="20"/>
    </row>
    <row r="419" spans="17:45">
      <c r="Q419" s="97" t="s">
        <v>5483</v>
      </c>
      <c r="R419" s="93">
        <v>12642697</v>
      </c>
      <c r="T419" s="19" t="s">
        <v>5670</v>
      </c>
      <c r="U419" s="19">
        <v>7804</v>
      </c>
      <c r="V419" s="115">
        <v>2236.0831640000001</v>
      </c>
      <c r="W419" s="115">
        <f t="shared" si="96"/>
        <v>17450393.011856001</v>
      </c>
      <c r="X419" s="263" t="s">
        <v>5111</v>
      </c>
      <c r="AH419" s="20">
        <v>133</v>
      </c>
      <c r="AI419" s="20" t="s">
        <v>5334</v>
      </c>
      <c r="AJ419" s="115">
        <v>-5000000</v>
      </c>
      <c r="AK419" s="20">
        <v>3</v>
      </c>
      <c r="AL419" s="20">
        <f t="shared" si="99"/>
        <v>406</v>
      </c>
      <c r="AM419" s="20">
        <f t="shared" si="100"/>
        <v>-2030000000</v>
      </c>
      <c r="AN419" s="20"/>
    </row>
    <row r="420" spans="17:45">
      <c r="Q420" s="97" t="s">
        <v>5484</v>
      </c>
      <c r="R420" s="93">
        <v>12297317.81435</v>
      </c>
      <c r="T420" s="19" t="s">
        <v>5671</v>
      </c>
      <c r="U420" s="19">
        <v>14589</v>
      </c>
      <c r="V420" s="115">
        <v>2151.5486500000002</v>
      </c>
      <c r="W420" s="115">
        <f t="shared" si="96"/>
        <v>31388943.254850004</v>
      </c>
      <c r="X420" s="263" t="s">
        <v>5111</v>
      </c>
      <c r="AH420" s="20">
        <v>134</v>
      </c>
      <c r="AI420" s="20" t="s">
        <v>5338</v>
      </c>
      <c r="AJ420" s="115">
        <v>-26000000</v>
      </c>
      <c r="AK420" s="20">
        <v>0</v>
      </c>
      <c r="AL420" s="20">
        <f t="shared" si="99"/>
        <v>403</v>
      </c>
      <c r="AM420" s="20">
        <f t="shared" si="100"/>
        <v>-10478000000</v>
      </c>
      <c r="AN420" s="20"/>
      <c r="AR420" t="s">
        <v>25</v>
      </c>
    </row>
    <row r="421" spans="17:45">
      <c r="Q421" s="97" t="s">
        <v>5485</v>
      </c>
      <c r="R421" s="93">
        <v>8959643.8508579992</v>
      </c>
      <c r="T421" s="19" t="s">
        <v>5672</v>
      </c>
      <c r="U421" s="19">
        <v>14741</v>
      </c>
      <c r="V421" s="115">
        <v>2097.0148140000001</v>
      </c>
      <c r="W421" s="115">
        <f t="shared" si="96"/>
        <v>30912095.373174001</v>
      </c>
      <c r="X421" s="263" t="s">
        <v>5111</v>
      </c>
      <c r="Y421" t="s">
        <v>25</v>
      </c>
      <c r="AH421" s="242">
        <v>135</v>
      </c>
      <c r="AI421" s="242" t="s">
        <v>5338</v>
      </c>
      <c r="AJ421" s="233">
        <v>-26000000</v>
      </c>
      <c r="AK421" s="242">
        <v>1</v>
      </c>
      <c r="AL421" s="242">
        <f t="shared" si="99"/>
        <v>403</v>
      </c>
      <c r="AM421" s="242">
        <f t="shared" si="100"/>
        <v>-10478000000</v>
      </c>
      <c r="AN421" s="242"/>
    </row>
    <row r="422" spans="17:45">
      <c r="Q422" s="97" t="s">
        <v>5500</v>
      </c>
      <c r="R422" s="93">
        <v>15154095.839328</v>
      </c>
      <c r="S422" t="s">
        <v>25</v>
      </c>
      <c r="T422" s="19" t="s">
        <v>5674</v>
      </c>
      <c r="U422" s="19">
        <v>10237</v>
      </c>
      <c r="V422" s="115">
        <v>1914.9092619999999</v>
      </c>
      <c r="W422" s="115">
        <f t="shared" si="96"/>
        <v>19602926.115093999</v>
      </c>
      <c r="X422" s="263" t="s">
        <v>5111</v>
      </c>
      <c r="Z422" t="s">
        <v>25</v>
      </c>
      <c r="AH422" s="20">
        <v>136</v>
      </c>
      <c r="AI422" s="20" t="s">
        <v>5343</v>
      </c>
      <c r="AJ422" s="115">
        <v>-81800000</v>
      </c>
      <c r="AK422" s="20">
        <v>0</v>
      </c>
      <c r="AL422" s="20">
        <f t="shared" si="99"/>
        <v>402</v>
      </c>
      <c r="AM422" s="20">
        <f t="shared" si="100"/>
        <v>-32883600000</v>
      </c>
      <c r="AN422" s="20"/>
    </row>
    <row r="423" spans="17:45">
      <c r="Q423" s="97" t="s">
        <v>5501</v>
      </c>
      <c r="R423" s="93">
        <v>50725508.571864001</v>
      </c>
      <c r="T423" s="19" t="s">
        <v>5678</v>
      </c>
      <c r="U423" s="19">
        <v>19211</v>
      </c>
      <c r="V423" s="115">
        <v>1793.6906100000001</v>
      </c>
      <c r="W423" s="115">
        <f t="shared" si="96"/>
        <v>34458590.308710001</v>
      </c>
      <c r="X423" s="263" t="s">
        <v>5111</v>
      </c>
      <c r="Z423" t="s">
        <v>25</v>
      </c>
      <c r="AH423" s="242">
        <v>137</v>
      </c>
      <c r="AI423" s="242" t="s">
        <v>5343</v>
      </c>
      <c r="AJ423" s="233">
        <v>-110000000</v>
      </c>
      <c r="AK423" s="242">
        <v>1</v>
      </c>
      <c r="AL423" s="242">
        <f t="shared" si="99"/>
        <v>402</v>
      </c>
      <c r="AM423" s="242">
        <f t="shared" si="100"/>
        <v>-44220000000</v>
      </c>
      <c r="AN423" s="242"/>
    </row>
    <row r="424" spans="17:45">
      <c r="Q424" s="97" t="s">
        <v>5508</v>
      </c>
      <c r="R424" s="93">
        <v>2281961.458596</v>
      </c>
      <c r="T424" s="19" t="s">
        <v>5680</v>
      </c>
      <c r="U424" s="19">
        <v>11599</v>
      </c>
      <c r="V424" s="115">
        <v>1870.667144</v>
      </c>
      <c r="W424" s="115">
        <f t="shared" si="96"/>
        <v>21697868.203256</v>
      </c>
      <c r="X424" s="263" t="s">
        <v>5111</v>
      </c>
      <c r="Y424" t="s">
        <v>25</v>
      </c>
      <c r="AH424" s="20">
        <v>138</v>
      </c>
      <c r="AI424" s="20" t="s">
        <v>5344</v>
      </c>
      <c r="AJ424" s="115">
        <v>-34000000</v>
      </c>
      <c r="AK424" s="20">
        <v>0</v>
      </c>
      <c r="AL424" s="20">
        <f t="shared" si="99"/>
        <v>401</v>
      </c>
      <c r="AM424" s="20">
        <f t="shared" si="100"/>
        <v>-13634000000</v>
      </c>
      <c r="AN424" s="20"/>
    </row>
    <row r="425" spans="17:45">
      <c r="Q425" s="97" t="s">
        <v>5509</v>
      </c>
      <c r="R425" s="93">
        <v>10998285</v>
      </c>
      <c r="T425" s="19" t="s">
        <v>5682</v>
      </c>
      <c r="U425" s="19">
        <v>14098</v>
      </c>
      <c r="V425" s="115">
        <v>1797.423695</v>
      </c>
      <c r="W425" s="115">
        <f t="shared" si="96"/>
        <v>25340079.252110001</v>
      </c>
      <c r="X425" s="263" t="s">
        <v>5111</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5511</v>
      </c>
      <c r="R426" s="93">
        <v>983018.96187300002</v>
      </c>
      <c r="S426" t="s">
        <v>25</v>
      </c>
      <c r="T426" s="19" t="s">
        <v>5683</v>
      </c>
      <c r="U426" s="19">
        <v>8497</v>
      </c>
      <c r="V426" s="115">
        <v>1739.5531579999999</v>
      </c>
      <c r="W426" s="115">
        <f t="shared" si="96"/>
        <v>14780983.183526</v>
      </c>
      <c r="X426" s="263" t="s">
        <v>5111</v>
      </c>
      <c r="AH426" s="20">
        <v>140</v>
      </c>
      <c r="AI426" s="20" t="s">
        <v>5357</v>
      </c>
      <c r="AJ426" s="115">
        <v>1000000</v>
      </c>
      <c r="AK426" s="20">
        <v>0</v>
      </c>
      <c r="AL426" s="20">
        <f t="shared" si="101"/>
        <v>396</v>
      </c>
      <c r="AM426" s="20">
        <f t="shared" si="102"/>
        <v>396000000</v>
      </c>
      <c r="AN426" s="20"/>
    </row>
    <row r="427" spans="17:45" ht="30">
      <c r="Q427" s="97" t="s">
        <v>5514</v>
      </c>
      <c r="R427" s="93">
        <v>17049271.032000002</v>
      </c>
      <c r="T427" s="284" t="s">
        <v>5686</v>
      </c>
      <c r="U427" s="284">
        <v>163820</v>
      </c>
      <c r="V427" s="88">
        <v>1588.685326</v>
      </c>
      <c r="W427" s="88">
        <f t="shared" si="96"/>
        <v>260258430.10532001</v>
      </c>
      <c r="X427" s="298" t="s">
        <v>5688</v>
      </c>
      <c r="AH427" s="147">
        <v>141</v>
      </c>
      <c r="AI427" s="147" t="s">
        <v>5357</v>
      </c>
      <c r="AJ427" s="186">
        <v>1000000</v>
      </c>
      <c r="AK427" s="147">
        <v>4</v>
      </c>
      <c r="AL427" s="147">
        <f t="shared" si="101"/>
        <v>396</v>
      </c>
      <c r="AM427" s="147">
        <f t="shared" si="102"/>
        <v>396000000</v>
      </c>
      <c r="AN427" s="147"/>
    </row>
    <row r="428" spans="17:45">
      <c r="Q428" s="97" t="s">
        <v>4212</v>
      </c>
      <c r="R428" s="93">
        <v>6829998</v>
      </c>
      <c r="T428" s="19" t="s">
        <v>5686</v>
      </c>
      <c r="U428" s="19">
        <v>11207</v>
      </c>
      <c r="V428" s="115">
        <v>1588.685326</v>
      </c>
      <c r="W428" s="115">
        <f t="shared" si="96"/>
        <v>17804396.448481999</v>
      </c>
      <c r="X428" s="263" t="s">
        <v>5111</v>
      </c>
      <c r="Y428" t="s">
        <v>25</v>
      </c>
      <c r="Z428" t="s">
        <v>25</v>
      </c>
      <c r="AH428" s="20">
        <v>142</v>
      </c>
      <c r="AI428" s="20" t="s">
        <v>5363</v>
      </c>
      <c r="AJ428" s="115">
        <v>400000</v>
      </c>
      <c r="AK428" s="20">
        <v>0</v>
      </c>
      <c r="AL428" s="20">
        <f t="shared" si="101"/>
        <v>392</v>
      </c>
      <c r="AM428" s="20">
        <f t="shared" si="102"/>
        <v>156800000</v>
      </c>
      <c r="AN428" s="20"/>
    </row>
    <row r="429" spans="17:45">
      <c r="Q429" s="97" t="s">
        <v>5535</v>
      </c>
      <c r="R429" s="93">
        <v>6982608.8207999999</v>
      </c>
      <c r="T429" s="19" t="s">
        <v>5689</v>
      </c>
      <c r="U429" s="19">
        <v>7198</v>
      </c>
      <c r="V429" s="115">
        <v>1602.9918909999999</v>
      </c>
      <c r="W429" s="115">
        <f t="shared" si="96"/>
        <v>11538335.631417999</v>
      </c>
      <c r="X429" s="263" t="s">
        <v>5111</v>
      </c>
      <c r="Y429" t="s">
        <v>25</v>
      </c>
      <c r="AH429" s="147">
        <v>143</v>
      </c>
      <c r="AI429" s="147" t="s">
        <v>5363</v>
      </c>
      <c r="AJ429" s="186">
        <v>400000</v>
      </c>
      <c r="AK429" s="147">
        <v>35</v>
      </c>
      <c r="AL429" s="147">
        <f t="shared" si="101"/>
        <v>392</v>
      </c>
      <c r="AM429" s="147">
        <f t="shared" si="102"/>
        <v>156800000</v>
      </c>
      <c r="AN429" s="147"/>
    </row>
    <row r="430" spans="17:45">
      <c r="Q430" s="97" t="s">
        <v>5541</v>
      </c>
      <c r="R430" s="93">
        <v>7510131.0216000006</v>
      </c>
      <c r="T430" s="19" t="s">
        <v>5690</v>
      </c>
      <c r="U430" s="19">
        <v>7804</v>
      </c>
      <c r="V430" s="115">
        <v>1592.7111440000001</v>
      </c>
      <c r="W430" s="115">
        <f t="shared" si="96"/>
        <v>12429517.767776001</v>
      </c>
      <c r="X430" s="263" t="s">
        <v>5111</v>
      </c>
      <c r="Z430" t="s">
        <v>25</v>
      </c>
      <c r="AH430" s="20">
        <v>144</v>
      </c>
      <c r="AI430" s="20" t="s">
        <v>5397</v>
      </c>
      <c r="AJ430" s="115">
        <v>3000000</v>
      </c>
      <c r="AK430" s="20">
        <v>0</v>
      </c>
      <c r="AL430" s="20">
        <f t="shared" si="101"/>
        <v>357</v>
      </c>
      <c r="AM430" s="20">
        <f t="shared" si="102"/>
        <v>1071000000</v>
      </c>
      <c r="AN430" s="20"/>
    </row>
    <row r="431" spans="17:45">
      <c r="Q431" s="97" t="s">
        <v>5550</v>
      </c>
      <c r="R431" s="93">
        <v>7278025.5327000003</v>
      </c>
      <c r="T431" s="19" t="s">
        <v>5698</v>
      </c>
      <c r="U431" s="19">
        <v>2827</v>
      </c>
      <c r="V431" s="115">
        <v>1779.6874809999999</v>
      </c>
      <c r="W431" s="115">
        <f t="shared" si="96"/>
        <v>5031176.5087869996</v>
      </c>
      <c r="X431" s="263" t="s">
        <v>5111</v>
      </c>
      <c r="Y431" t="s">
        <v>25</v>
      </c>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5555</v>
      </c>
      <c r="R432" s="93">
        <v>195059.35799999998</v>
      </c>
      <c r="T432" s="19" t="s">
        <v>5700</v>
      </c>
      <c r="U432" s="19">
        <v>3385</v>
      </c>
      <c r="V432" s="115">
        <v>2015.5993820000001</v>
      </c>
      <c r="W432" s="115">
        <f t="shared" si="96"/>
        <v>6822803.9080700008</v>
      </c>
      <c r="X432" s="263" t="s">
        <v>5111</v>
      </c>
      <c r="Y432" t="s">
        <v>25</v>
      </c>
      <c r="Z432" t="s">
        <v>25</v>
      </c>
      <c r="AH432" s="147">
        <v>146</v>
      </c>
      <c r="AI432" s="147" t="s">
        <v>5295</v>
      </c>
      <c r="AJ432" s="186">
        <v>-8644090</v>
      </c>
      <c r="AK432" s="147">
        <v>0</v>
      </c>
      <c r="AL432" s="147">
        <f t="shared" si="103"/>
        <v>338</v>
      </c>
      <c r="AM432" s="147">
        <f t="shared" si="104"/>
        <v>-2921702420</v>
      </c>
      <c r="AN432" s="147" t="s">
        <v>4737</v>
      </c>
    </row>
    <row r="433" spans="17:45">
      <c r="Q433" s="97" t="s">
        <v>5557</v>
      </c>
      <c r="R433" s="93">
        <v>862577.83200000005</v>
      </c>
      <c r="T433" s="19" t="s">
        <v>5704</v>
      </c>
      <c r="U433" s="19">
        <v>158</v>
      </c>
      <c r="V433" s="115">
        <v>2094.2388179999998</v>
      </c>
      <c r="W433" s="115">
        <f t="shared" si="96"/>
        <v>330889.73324399994</v>
      </c>
      <c r="X433" s="263" t="s">
        <v>5111</v>
      </c>
      <c r="Y433" t="s">
        <v>25</v>
      </c>
      <c r="AH433" s="20">
        <v>147</v>
      </c>
      <c r="AI433" s="20" t="s">
        <v>5295</v>
      </c>
      <c r="AJ433" s="115">
        <v>-65461942</v>
      </c>
      <c r="AK433" s="20">
        <v>1</v>
      </c>
      <c r="AL433" s="20">
        <f t="shared" si="103"/>
        <v>338</v>
      </c>
      <c r="AM433" s="20">
        <f t="shared" si="104"/>
        <v>-22126136396</v>
      </c>
      <c r="AN433" s="20" t="s">
        <v>4737</v>
      </c>
    </row>
    <row r="434" spans="17:45">
      <c r="Q434" s="97" t="s">
        <v>5558</v>
      </c>
      <c r="R434" s="93">
        <v>920308.446</v>
      </c>
      <c r="T434" s="19" t="s">
        <v>965</v>
      </c>
      <c r="U434" s="19">
        <v>5033</v>
      </c>
      <c r="V434" s="115">
        <v>2229.4976999999999</v>
      </c>
      <c r="W434" s="115">
        <f t="shared" si="96"/>
        <v>11221061.924099999</v>
      </c>
      <c r="X434" s="263" t="s">
        <v>5709</v>
      </c>
      <c r="Z434" t="s">
        <v>25</v>
      </c>
      <c r="AH434" s="20">
        <v>148</v>
      </c>
      <c r="AI434" s="20" t="s">
        <v>5420</v>
      </c>
      <c r="AJ434" s="115">
        <v>35000000</v>
      </c>
      <c r="AK434" s="20">
        <v>15</v>
      </c>
      <c r="AL434" s="20">
        <f t="shared" si="103"/>
        <v>337</v>
      </c>
      <c r="AM434" s="20">
        <f t="shared" si="104"/>
        <v>11795000000</v>
      </c>
      <c r="AN434" s="20"/>
    </row>
    <row r="435" spans="17:45">
      <c r="Q435" s="97" t="s">
        <v>5560</v>
      </c>
      <c r="R435" s="93">
        <v>4635809.8416840006</v>
      </c>
      <c r="S435" t="s">
        <v>25</v>
      </c>
      <c r="T435" s="19" t="s">
        <v>5713</v>
      </c>
      <c r="U435" s="19">
        <v>2870</v>
      </c>
      <c r="V435" s="115">
        <v>2303.2467459999998</v>
      </c>
      <c r="W435" s="115">
        <f t="shared" si="96"/>
        <v>6610318.1610199995</v>
      </c>
      <c r="X435" s="263" t="s">
        <v>5111</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5589</v>
      </c>
      <c r="R436" s="93">
        <v>288892.40000000002</v>
      </c>
      <c r="T436" s="19" t="s">
        <v>5714</v>
      </c>
      <c r="U436" s="19">
        <v>307</v>
      </c>
      <c r="V436" s="115">
        <v>2315.0266360000001</v>
      </c>
      <c r="W436" s="115">
        <f t="shared" si="96"/>
        <v>710713.17725199996</v>
      </c>
      <c r="X436" s="263" t="s">
        <v>5111</v>
      </c>
      <c r="AH436" s="20">
        <v>150</v>
      </c>
      <c r="AI436" s="20" t="s">
        <v>5439</v>
      </c>
      <c r="AJ436" s="115">
        <v>1600000</v>
      </c>
      <c r="AK436" s="20">
        <v>1</v>
      </c>
      <c r="AL436" s="20">
        <f t="shared" si="105"/>
        <v>322</v>
      </c>
      <c r="AM436" s="20">
        <f t="shared" si="106"/>
        <v>515200000</v>
      </c>
      <c r="AN436" s="20"/>
    </row>
    <row r="437" spans="17:45" ht="30">
      <c r="Q437" s="97" t="s">
        <v>5590</v>
      </c>
      <c r="R437" s="93">
        <v>58508002.009000003</v>
      </c>
      <c r="T437" s="19" t="s">
        <v>5716</v>
      </c>
      <c r="U437" s="19">
        <v>35</v>
      </c>
      <c r="V437" s="115">
        <v>2315</v>
      </c>
      <c r="W437" s="115">
        <f t="shared" si="96"/>
        <v>81025</v>
      </c>
      <c r="X437" s="263" t="s">
        <v>5718</v>
      </c>
      <c r="Y437" s="112"/>
      <c r="AH437" s="147">
        <v>151</v>
      </c>
      <c r="AI437" s="147" t="s">
        <v>5442</v>
      </c>
      <c r="AJ437" s="186">
        <v>600000</v>
      </c>
      <c r="AK437" s="147">
        <v>0</v>
      </c>
      <c r="AL437" s="147">
        <f t="shared" si="105"/>
        <v>321</v>
      </c>
      <c r="AM437" s="147">
        <f t="shared" si="106"/>
        <v>192600000</v>
      </c>
      <c r="AN437" s="147" t="s">
        <v>5444</v>
      </c>
    </row>
    <row r="438" spans="17:45">
      <c r="Q438" s="97" t="s">
        <v>5592</v>
      </c>
      <c r="R438" s="93">
        <v>2245515.5410799999</v>
      </c>
      <c r="T438" s="19" t="s">
        <v>5719</v>
      </c>
      <c r="U438" s="19">
        <v>94</v>
      </c>
      <c r="V438" s="115">
        <v>2337.1980119999998</v>
      </c>
      <c r="W438" s="115">
        <f t="shared" si="96"/>
        <v>219696.613128</v>
      </c>
      <c r="X438" s="263" t="s">
        <v>5111</v>
      </c>
      <c r="Y438" t="s">
        <v>25</v>
      </c>
      <c r="Z438" t="s">
        <v>25</v>
      </c>
      <c r="AH438" s="20">
        <v>152</v>
      </c>
      <c r="AI438" s="20" t="s">
        <v>5442</v>
      </c>
      <c r="AJ438" s="115">
        <v>600000</v>
      </c>
      <c r="AK438" s="20">
        <v>9</v>
      </c>
      <c r="AL438" s="20">
        <f>AK438+AL439</f>
        <v>321</v>
      </c>
      <c r="AM438" s="20">
        <f t="shared" si="106"/>
        <v>192600000</v>
      </c>
      <c r="AN438" s="20" t="s">
        <v>5444</v>
      </c>
    </row>
    <row r="439" spans="17:45">
      <c r="Q439" s="97" t="s">
        <v>5592</v>
      </c>
      <c r="R439" s="93">
        <v>18404699.3442</v>
      </c>
      <c r="T439" s="19" t="s">
        <v>5720</v>
      </c>
      <c r="U439" s="19">
        <v>2534</v>
      </c>
      <c r="V439" s="115">
        <v>2381.7965300000001</v>
      </c>
      <c r="W439" s="115">
        <f t="shared" si="96"/>
        <v>6035472.4070199998</v>
      </c>
      <c r="X439" s="263" t="s">
        <v>5111</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5595</v>
      </c>
      <c r="R440" s="93">
        <v>48684800</v>
      </c>
      <c r="S440" t="s">
        <v>25</v>
      </c>
      <c r="T440" s="19" t="s">
        <v>5722</v>
      </c>
      <c r="U440" s="19">
        <v>424</v>
      </c>
      <c r="V440" s="115">
        <v>2321.9017680000002</v>
      </c>
      <c r="W440" s="115">
        <f t="shared" si="96"/>
        <v>984486.34963200008</v>
      </c>
      <c r="X440" s="263" t="s">
        <v>5111</v>
      </c>
      <c r="Z440" t="s">
        <v>25</v>
      </c>
      <c r="AH440" s="20">
        <v>154</v>
      </c>
      <c r="AI440" s="20" t="s">
        <v>5492</v>
      </c>
      <c r="AJ440" s="115">
        <v>-46183500</v>
      </c>
      <c r="AK440" s="20">
        <v>0</v>
      </c>
      <c r="AL440" s="20">
        <f t="shared" si="107"/>
        <v>289</v>
      </c>
      <c r="AM440" s="20">
        <f t="shared" si="108"/>
        <v>-13347031500</v>
      </c>
      <c r="AN440" s="20" t="s">
        <v>4862</v>
      </c>
    </row>
    <row r="441" spans="17:45">
      <c r="Q441" s="97" t="s">
        <v>5597</v>
      </c>
      <c r="R441" s="93">
        <v>2264658.5922190002</v>
      </c>
      <c r="T441" s="187" t="s">
        <v>5724</v>
      </c>
      <c r="U441" s="187">
        <v>-32</v>
      </c>
      <c r="V441" s="186">
        <v>2221.2123710000001</v>
      </c>
      <c r="W441" s="186">
        <f t="shared" si="96"/>
        <v>-71078.795872000002</v>
      </c>
      <c r="X441" s="262" t="s">
        <v>5728</v>
      </c>
      <c r="AH441" s="147">
        <v>155</v>
      </c>
      <c r="AI441" s="147" t="s">
        <v>5492</v>
      </c>
      <c r="AJ441" s="186">
        <v>-1812800</v>
      </c>
      <c r="AK441" s="147">
        <v>2</v>
      </c>
      <c r="AL441" s="147">
        <f>AK441+AL442</f>
        <v>289</v>
      </c>
      <c r="AM441" s="147">
        <f t="shared" si="108"/>
        <v>-523899200</v>
      </c>
      <c r="AN441" s="147" t="s">
        <v>4862</v>
      </c>
    </row>
    <row r="442" spans="17:45">
      <c r="Q442" s="97" t="s">
        <v>5600</v>
      </c>
      <c r="R442" s="93">
        <v>22877413.789960001</v>
      </c>
      <c r="T442" s="19" t="s">
        <v>5724</v>
      </c>
      <c r="U442" s="19">
        <v>157</v>
      </c>
      <c r="V442" s="115">
        <v>2221.2123710000001</v>
      </c>
      <c r="W442" s="115">
        <f t="shared" si="96"/>
        <v>348730.34224700002</v>
      </c>
      <c r="X442" s="263" t="s">
        <v>5729</v>
      </c>
      <c r="AH442" s="20">
        <v>156</v>
      </c>
      <c r="AI442" s="20" t="s">
        <v>5496</v>
      </c>
      <c r="AJ442" s="115">
        <v>90000</v>
      </c>
      <c r="AK442" s="20">
        <v>0</v>
      </c>
      <c r="AL442" s="20">
        <f t="shared" ref="AL442:AL456" si="109">AK442+AL443</f>
        <v>287</v>
      </c>
      <c r="AM442" s="20">
        <f t="shared" ref="AM442:AM456" si="110">AJ442*AL442</f>
        <v>25830000</v>
      </c>
      <c r="AN442" s="20"/>
    </row>
    <row r="443" spans="17:45">
      <c r="Q443" s="97" t="s">
        <v>5601</v>
      </c>
      <c r="R443" s="93">
        <v>2362539.4373280001</v>
      </c>
      <c r="T443" s="19" t="s">
        <v>5724</v>
      </c>
      <c r="U443" s="19">
        <v>965</v>
      </c>
      <c r="V443" s="115">
        <v>2221.2123710000001</v>
      </c>
      <c r="W443" s="115">
        <f t="shared" si="96"/>
        <v>2143469.938015</v>
      </c>
      <c r="X443" s="263" t="s">
        <v>5111</v>
      </c>
      <c r="AH443" s="147">
        <v>157</v>
      </c>
      <c r="AI443" s="147" t="s">
        <v>5496</v>
      </c>
      <c r="AJ443" s="186">
        <v>60000</v>
      </c>
      <c r="AK443" s="147">
        <v>5</v>
      </c>
      <c r="AL443" s="147">
        <f t="shared" si="109"/>
        <v>287</v>
      </c>
      <c r="AM443" s="147">
        <f t="shared" si="110"/>
        <v>17220000</v>
      </c>
      <c r="AN443" s="147"/>
    </row>
    <row r="444" spans="17:45">
      <c r="Q444" s="97" t="s">
        <v>5602</v>
      </c>
      <c r="R444" s="93">
        <v>16042676.656608</v>
      </c>
      <c r="T444" s="187" t="s">
        <v>5731</v>
      </c>
      <c r="U444" s="187">
        <v>596</v>
      </c>
      <c r="V444" s="186">
        <v>2180.6765719999999</v>
      </c>
      <c r="W444" s="186">
        <f t="shared" si="96"/>
        <v>1299683.236912</v>
      </c>
      <c r="X444" s="262" t="s">
        <v>1071</v>
      </c>
      <c r="Y444" t="s">
        <v>25</v>
      </c>
      <c r="AH444" s="20">
        <v>158</v>
      </c>
      <c r="AI444" s="20" t="s">
        <v>5501</v>
      </c>
      <c r="AJ444" s="115">
        <v>50000000</v>
      </c>
      <c r="AK444" s="20">
        <v>29</v>
      </c>
      <c r="AL444" s="20">
        <f t="shared" si="109"/>
        <v>282</v>
      </c>
      <c r="AM444" s="20">
        <f t="shared" si="110"/>
        <v>14100000000</v>
      </c>
      <c r="AN444" s="20" t="s">
        <v>5503</v>
      </c>
      <c r="AR444" t="s">
        <v>25</v>
      </c>
    </row>
    <row r="445" spans="17:45">
      <c r="Q445" s="97" t="s">
        <v>5605</v>
      </c>
      <c r="R445" s="93">
        <v>18403291.448284</v>
      </c>
      <c r="T445" s="19" t="s">
        <v>5736</v>
      </c>
      <c r="U445" s="19">
        <v>1355</v>
      </c>
      <c r="V445" s="115">
        <v>2277.0926330000002</v>
      </c>
      <c r="W445" s="115">
        <f t="shared" si="96"/>
        <v>3085460.5177150001</v>
      </c>
      <c r="X445" s="263" t="s">
        <v>5111</v>
      </c>
      <c r="AH445" s="20">
        <v>159</v>
      </c>
      <c r="AI445" s="20" t="s">
        <v>5560</v>
      </c>
      <c r="AJ445" s="115">
        <v>100000</v>
      </c>
      <c r="AK445" s="20">
        <v>1</v>
      </c>
      <c r="AL445" s="20">
        <f t="shared" si="109"/>
        <v>253</v>
      </c>
      <c r="AM445" s="20">
        <f t="shared" si="110"/>
        <v>25300000</v>
      </c>
      <c r="AN445" s="20"/>
    </row>
    <row r="446" spans="17:45">
      <c r="Q446" s="97" t="s">
        <v>5606</v>
      </c>
      <c r="R446" s="93">
        <v>10561447.246918</v>
      </c>
      <c r="T446" s="19" t="s">
        <v>5738</v>
      </c>
      <c r="U446" s="19">
        <v>3742</v>
      </c>
      <c r="V446" s="115">
        <v>2207.7650429999999</v>
      </c>
      <c r="W446" s="115">
        <f t="shared" si="96"/>
        <v>8261456.790906</v>
      </c>
      <c r="X446" s="263" t="s">
        <v>5111</v>
      </c>
      <c r="Y446" t="s">
        <v>25</v>
      </c>
      <c r="AH446" s="147">
        <v>160</v>
      </c>
      <c r="AI446" s="147" t="s">
        <v>5549</v>
      </c>
      <c r="AJ446" s="186">
        <v>150000</v>
      </c>
      <c r="AK446" s="147">
        <v>0</v>
      </c>
      <c r="AL446" s="147">
        <f t="shared" si="109"/>
        <v>252</v>
      </c>
      <c r="AM446" s="147">
        <f t="shared" si="110"/>
        <v>37800000</v>
      </c>
      <c r="AN446" s="147"/>
      <c r="AQ446" t="s">
        <v>25</v>
      </c>
    </row>
    <row r="447" spans="17:45">
      <c r="Q447" s="97" t="s">
        <v>5607</v>
      </c>
      <c r="R447" s="93">
        <v>1226811.9176660001</v>
      </c>
      <c r="T447" s="19" t="s">
        <v>5740</v>
      </c>
      <c r="U447" s="19">
        <v>3216</v>
      </c>
      <c r="V447" s="115">
        <v>2043.648557</v>
      </c>
      <c r="W447" s="115">
        <f t="shared" si="96"/>
        <v>6572373.7593120001</v>
      </c>
      <c r="X447" s="263" t="s">
        <v>5111</v>
      </c>
      <c r="AH447" s="20">
        <v>161</v>
      </c>
      <c r="AI447" s="20" t="s">
        <v>5549</v>
      </c>
      <c r="AJ447" s="115">
        <v>-683050</v>
      </c>
      <c r="AK447" s="20">
        <v>7</v>
      </c>
      <c r="AL447" s="20">
        <f t="shared" si="109"/>
        <v>252</v>
      </c>
      <c r="AM447" s="20">
        <f t="shared" si="110"/>
        <v>-172128600</v>
      </c>
      <c r="AN447" s="20" t="s">
        <v>5563</v>
      </c>
    </row>
    <row r="448" spans="17:45">
      <c r="Q448" s="97" t="s">
        <v>5612</v>
      </c>
      <c r="R448" s="93">
        <v>39373959.190266006</v>
      </c>
      <c r="T448" s="187" t="s">
        <v>5743</v>
      </c>
      <c r="U448" s="187">
        <v>42393</v>
      </c>
      <c r="V448" s="186">
        <v>2124.4852740000001</v>
      </c>
      <c r="W448" s="186">
        <f t="shared" si="96"/>
        <v>90063304.22068201</v>
      </c>
      <c r="X448" s="262" t="s">
        <v>5744</v>
      </c>
      <c r="Y448" t="s">
        <v>25</v>
      </c>
      <c r="AH448" s="147">
        <v>162</v>
      </c>
      <c r="AI448" s="147" t="s">
        <v>5571</v>
      </c>
      <c r="AJ448" s="186">
        <v>200000</v>
      </c>
      <c r="AK448" s="147">
        <v>7</v>
      </c>
      <c r="AL448" s="147">
        <f t="shared" si="109"/>
        <v>245</v>
      </c>
      <c r="AM448" s="147">
        <f t="shared" si="110"/>
        <v>49000000</v>
      </c>
      <c r="AN448" s="147"/>
    </row>
    <row r="449" spans="17:44">
      <c r="Q449" s="97" t="s">
        <v>5613</v>
      </c>
      <c r="R449" s="93">
        <v>27703487.063980002</v>
      </c>
      <c r="T449" s="19" t="s">
        <v>5745</v>
      </c>
      <c r="U449" s="19">
        <v>1307</v>
      </c>
      <c r="V449" s="115">
        <v>2213.652313</v>
      </c>
      <c r="W449" s="115">
        <f t="shared" si="96"/>
        <v>2893243.5730909999</v>
      </c>
      <c r="X449" s="263" t="s">
        <v>5111</v>
      </c>
      <c r="AH449" s="147">
        <v>163</v>
      </c>
      <c r="AI449" s="147" t="s">
        <v>5576</v>
      </c>
      <c r="AJ449" s="186">
        <v>150000</v>
      </c>
      <c r="AK449" s="147">
        <v>5</v>
      </c>
      <c r="AL449" s="147">
        <f t="shared" si="109"/>
        <v>238</v>
      </c>
      <c r="AM449" s="147">
        <f t="shared" si="110"/>
        <v>35700000</v>
      </c>
      <c r="AN449" s="147"/>
      <c r="AR449" t="s">
        <v>25</v>
      </c>
    </row>
    <row r="450" spans="17:44">
      <c r="Q450" s="97" t="s">
        <v>4185</v>
      </c>
      <c r="R450" s="93">
        <v>8738896.6890719999</v>
      </c>
      <c r="T450" s="19" t="s">
        <v>5747</v>
      </c>
      <c r="U450" s="19">
        <v>44079</v>
      </c>
      <c r="V450" s="115">
        <v>2155.0411519999998</v>
      </c>
      <c r="W450" s="115">
        <f t="shared" si="96"/>
        <v>94992058.939007998</v>
      </c>
      <c r="X450" s="263" t="s">
        <v>5111</v>
      </c>
      <c r="Y450" t="s">
        <v>25</v>
      </c>
      <c r="Z450" t="s">
        <v>25</v>
      </c>
      <c r="AH450" s="20">
        <v>164</v>
      </c>
      <c r="AI450" s="20" t="s">
        <v>5580</v>
      </c>
      <c r="AJ450" s="115">
        <v>320000</v>
      </c>
      <c r="AK450" s="20">
        <v>2</v>
      </c>
      <c r="AL450" s="20">
        <f t="shared" si="109"/>
        <v>233</v>
      </c>
      <c r="AM450" s="20">
        <f t="shared" si="110"/>
        <v>74560000</v>
      </c>
      <c r="AN450" s="20"/>
    </row>
    <row r="451" spans="17:44">
      <c r="Q451" s="97" t="s">
        <v>5615</v>
      </c>
      <c r="R451" s="93">
        <v>348201.66738</v>
      </c>
      <c r="T451" s="19" t="s">
        <v>5753</v>
      </c>
      <c r="U451" s="19">
        <v>131</v>
      </c>
      <c r="V451" s="115">
        <v>2099.4040150000001</v>
      </c>
      <c r="W451" s="115">
        <f t="shared" si="96"/>
        <v>275021.925965</v>
      </c>
      <c r="X451" s="263" t="s">
        <v>5111</v>
      </c>
      <c r="Y451" t="s">
        <v>25</v>
      </c>
      <c r="AF451" s="94" t="s">
        <v>25</v>
      </c>
      <c r="AH451" s="20">
        <v>165</v>
      </c>
      <c r="AI451" s="20" t="s">
        <v>5581</v>
      </c>
      <c r="AJ451" s="115">
        <v>200000</v>
      </c>
      <c r="AK451" s="20">
        <v>29</v>
      </c>
      <c r="AL451" s="20">
        <f t="shared" si="109"/>
        <v>231</v>
      </c>
      <c r="AM451" s="20">
        <f t="shared" si="110"/>
        <v>46200000</v>
      </c>
      <c r="AN451" s="20"/>
    </row>
    <row r="452" spans="17:44">
      <c r="Q452" s="97" t="s">
        <v>5619</v>
      </c>
      <c r="R452" s="93">
        <v>4158090.8935679998</v>
      </c>
      <c r="T452" s="19" t="s">
        <v>5760</v>
      </c>
      <c r="U452" s="19">
        <v>162</v>
      </c>
      <c r="V452" s="115">
        <v>2021.3081500000001</v>
      </c>
      <c r="W452" s="115">
        <f t="shared" si="96"/>
        <v>327451.9203</v>
      </c>
      <c r="X452" s="263" t="s">
        <v>5111</v>
      </c>
      <c r="Z452" t="s">
        <v>25</v>
      </c>
      <c r="AH452" s="20">
        <v>166</v>
      </c>
      <c r="AI452" s="20" t="s">
        <v>5616</v>
      </c>
      <c r="AJ452" s="115">
        <v>4200000</v>
      </c>
      <c r="AK452" s="20">
        <v>0</v>
      </c>
      <c r="AL452" s="20">
        <f t="shared" si="109"/>
        <v>202</v>
      </c>
      <c r="AM452" s="20">
        <f t="shared" si="110"/>
        <v>848400000</v>
      </c>
      <c r="AN452" s="20"/>
    </row>
    <row r="453" spans="17:44">
      <c r="Q453" s="97" t="s">
        <v>5616</v>
      </c>
      <c r="R453" s="93">
        <v>110770524.97879399</v>
      </c>
      <c r="T453" s="19" t="s">
        <v>5772</v>
      </c>
      <c r="U453" s="19">
        <v>131</v>
      </c>
      <c r="V453" s="115">
        <v>1985.358328</v>
      </c>
      <c r="W453" s="115">
        <f t="shared" si="96"/>
        <v>260081.94096800001</v>
      </c>
      <c r="X453" s="263" t="s">
        <v>5111</v>
      </c>
      <c r="Z453" t="s">
        <v>25</v>
      </c>
      <c r="AH453" s="147">
        <v>167</v>
      </c>
      <c r="AI453" s="147" t="s">
        <v>5616</v>
      </c>
      <c r="AJ453" s="186">
        <v>3300000</v>
      </c>
      <c r="AK453" s="147">
        <v>11</v>
      </c>
      <c r="AL453" s="147">
        <f t="shared" si="109"/>
        <v>202</v>
      </c>
      <c r="AM453" s="147">
        <f t="shared" si="110"/>
        <v>666600000</v>
      </c>
      <c r="AN453" s="147"/>
    </row>
    <row r="454" spans="17:44">
      <c r="Q454" s="97" t="s">
        <v>5619</v>
      </c>
      <c r="R454" s="93">
        <v>17900000</v>
      </c>
      <c r="T454" s="19" t="s">
        <v>5781</v>
      </c>
      <c r="U454" s="19">
        <v>1449</v>
      </c>
      <c r="V454" s="115">
        <v>2007.787806</v>
      </c>
      <c r="W454" s="115">
        <f t="shared" si="96"/>
        <v>2909284.5308940001</v>
      </c>
      <c r="X454" s="263" t="s">
        <v>5111</v>
      </c>
      <c r="Z454" t="s">
        <v>25</v>
      </c>
      <c r="AH454" s="147">
        <v>168</v>
      </c>
      <c r="AI454" s="147" t="s">
        <v>5640</v>
      </c>
      <c r="AJ454" s="186">
        <v>-1500000</v>
      </c>
      <c r="AK454" s="147">
        <v>42</v>
      </c>
      <c r="AL454" s="147">
        <f t="shared" si="109"/>
        <v>191</v>
      </c>
      <c r="AM454" s="147">
        <f t="shared" si="110"/>
        <v>-286500000</v>
      </c>
      <c r="AN454" s="147"/>
    </row>
    <row r="455" spans="17:44">
      <c r="Q455" s="97" t="s">
        <v>5631</v>
      </c>
      <c r="R455" s="93">
        <v>12114824.927374</v>
      </c>
      <c r="T455" s="19" t="s">
        <v>5782</v>
      </c>
      <c r="U455" s="19">
        <v>19028</v>
      </c>
      <c r="V455" s="115">
        <v>1982.5102529999999</v>
      </c>
      <c r="W455" s="115">
        <f t="shared" si="96"/>
        <v>37723205.094084002</v>
      </c>
      <c r="X455" s="263" t="s">
        <v>5111</v>
      </c>
      <c r="Y455" t="s">
        <v>25</v>
      </c>
      <c r="Z455" t="s">
        <v>25</v>
      </c>
      <c r="AH455" s="20">
        <v>169</v>
      </c>
      <c r="AI455" s="20" t="s">
        <v>5686</v>
      </c>
      <c r="AJ455" s="115">
        <v>260000</v>
      </c>
      <c r="AK455" s="20">
        <v>22</v>
      </c>
      <c r="AL455" s="20">
        <f t="shared" si="109"/>
        <v>149</v>
      </c>
      <c r="AM455" s="20">
        <f t="shared" si="110"/>
        <v>38740000</v>
      </c>
      <c r="AN455" s="20"/>
    </row>
    <row r="456" spans="17:44">
      <c r="Q456" s="97" t="s">
        <v>5634</v>
      </c>
      <c r="R456" s="93">
        <v>6684147.0064600008</v>
      </c>
      <c r="T456" s="19" t="s">
        <v>5783</v>
      </c>
      <c r="U456" s="19">
        <v>848</v>
      </c>
      <c r="V456" s="115">
        <v>1768.97966</v>
      </c>
      <c r="W456" s="115">
        <f t="shared" si="96"/>
        <v>1500094.75168</v>
      </c>
      <c r="X456" s="263" t="s">
        <v>5111</v>
      </c>
      <c r="AH456" s="20">
        <v>170</v>
      </c>
      <c r="AI456" s="20" t="s">
        <v>5714</v>
      </c>
      <c r="AJ456" s="115">
        <v>20000</v>
      </c>
      <c r="AK456" s="20">
        <v>0</v>
      </c>
      <c r="AL456" s="20">
        <f t="shared" si="109"/>
        <v>127</v>
      </c>
      <c r="AM456" s="20">
        <f t="shared" si="110"/>
        <v>2540000</v>
      </c>
      <c r="AN456" s="20"/>
    </row>
    <row r="457" spans="17:44">
      <c r="Q457" s="97" t="s">
        <v>5638</v>
      </c>
      <c r="R457" s="93">
        <v>1826535.2307560001</v>
      </c>
      <c r="T457" s="19" t="s">
        <v>5784</v>
      </c>
      <c r="U457" s="19">
        <v>3824</v>
      </c>
      <c r="V457" s="115">
        <v>1890.8547169999999</v>
      </c>
      <c r="W457" s="115">
        <f t="shared" si="96"/>
        <v>7230628.4378079996</v>
      </c>
      <c r="X457" s="263" t="s">
        <v>5111</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5640</v>
      </c>
      <c r="R458" s="93">
        <v>3577366.94</v>
      </c>
      <c r="T458" s="19" t="s">
        <v>5786</v>
      </c>
      <c r="U458" s="19">
        <v>14010</v>
      </c>
      <c r="V458" s="115">
        <v>2124.7244390000001</v>
      </c>
      <c r="W458" s="115">
        <f t="shared" si="96"/>
        <v>29767389.390390001</v>
      </c>
      <c r="X458" s="263" t="s">
        <v>5111</v>
      </c>
      <c r="AA458" t="s">
        <v>25</v>
      </c>
      <c r="AH458" s="147">
        <v>172</v>
      </c>
      <c r="AI458" s="147" t="s">
        <v>5724</v>
      </c>
      <c r="AJ458" s="186">
        <v>70000</v>
      </c>
      <c r="AK458" s="147">
        <v>0</v>
      </c>
      <c r="AL458" s="147">
        <f t="shared" si="111"/>
        <v>120</v>
      </c>
      <c r="AM458" s="147">
        <f t="shared" si="112"/>
        <v>8400000</v>
      </c>
      <c r="AN458" s="147"/>
    </row>
    <row r="459" spans="17:44">
      <c r="Q459" s="97" t="s">
        <v>5643</v>
      </c>
      <c r="R459" s="93">
        <v>21239029.173567999</v>
      </c>
      <c r="T459" s="19" t="s">
        <v>5787</v>
      </c>
      <c r="U459" s="19">
        <v>73</v>
      </c>
      <c r="V459" s="115">
        <v>2076.1678900000002</v>
      </c>
      <c r="W459" s="115">
        <f t="shared" si="96"/>
        <v>151560.25597</v>
      </c>
      <c r="X459" s="263" t="s">
        <v>5111</v>
      </c>
      <c r="AH459" s="20">
        <v>173</v>
      </c>
      <c r="AI459" s="20" t="s">
        <v>5724</v>
      </c>
      <c r="AJ459" s="115">
        <v>70000</v>
      </c>
      <c r="AK459" s="20">
        <v>1</v>
      </c>
      <c r="AL459" s="20">
        <f t="shared" si="111"/>
        <v>120</v>
      </c>
      <c r="AM459" s="20">
        <f t="shared" si="112"/>
        <v>8400000</v>
      </c>
      <c r="AN459" s="20"/>
    </row>
    <row r="460" spans="17:44">
      <c r="Q460" s="97" t="s">
        <v>5648</v>
      </c>
      <c r="R460" s="93">
        <v>242957252.40163299</v>
      </c>
      <c r="T460" s="19" t="s">
        <v>5789</v>
      </c>
      <c r="U460" s="19">
        <v>236</v>
      </c>
      <c r="V460" s="115">
        <v>2039.4867830000001</v>
      </c>
      <c r="W460" s="115">
        <f t="shared" si="96"/>
        <v>481318.88078800001</v>
      </c>
      <c r="X460" s="263" t="s">
        <v>5111</v>
      </c>
      <c r="AH460" s="20">
        <v>174</v>
      </c>
      <c r="AI460" s="20" t="s">
        <v>5731</v>
      </c>
      <c r="AJ460" s="115">
        <v>330000</v>
      </c>
      <c r="AK460" s="20">
        <v>0</v>
      </c>
      <c r="AL460" s="20">
        <f t="shared" si="111"/>
        <v>119</v>
      </c>
      <c r="AM460" s="20">
        <f t="shared" si="112"/>
        <v>39270000</v>
      </c>
      <c r="AN460" s="20"/>
    </row>
    <row r="461" spans="17:44">
      <c r="Q461" s="97" t="s">
        <v>5649</v>
      </c>
      <c r="R461" s="93">
        <v>7357181.2750800001</v>
      </c>
      <c r="T461" s="19" t="s">
        <v>5792</v>
      </c>
      <c r="U461" s="19">
        <v>75</v>
      </c>
      <c r="V461" s="115">
        <v>1950.3675760000001</v>
      </c>
      <c r="W461" s="115">
        <f t="shared" si="96"/>
        <v>146277.56820000001</v>
      </c>
      <c r="X461" s="263" t="s">
        <v>5111</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5653</v>
      </c>
      <c r="R462" s="93">
        <v>14951411.942400001</v>
      </c>
      <c r="T462" s="19" t="s">
        <v>5804</v>
      </c>
      <c r="U462" s="19">
        <v>232</v>
      </c>
      <c r="V462" s="115">
        <v>1830.5750069999999</v>
      </c>
      <c r="W462" s="115">
        <f t="shared" si="96"/>
        <v>424693.40162399999</v>
      </c>
      <c r="X462" s="263" t="s">
        <v>5111</v>
      </c>
      <c r="Y462" t="s">
        <v>25</v>
      </c>
      <c r="AH462" s="147">
        <v>176</v>
      </c>
      <c r="AI462" s="147" t="s">
        <v>5743</v>
      </c>
      <c r="AJ462" s="186">
        <v>90000000</v>
      </c>
      <c r="AK462" s="147">
        <v>16</v>
      </c>
      <c r="AL462" s="147">
        <f t="shared" si="113"/>
        <v>109</v>
      </c>
      <c r="AM462" s="147">
        <f t="shared" si="114"/>
        <v>9810000000</v>
      </c>
      <c r="AN462" s="147"/>
    </row>
    <row r="463" spans="17:44">
      <c r="Q463" s="97" t="s">
        <v>5655</v>
      </c>
      <c r="R463" s="93">
        <v>47928209.377011999</v>
      </c>
      <c r="T463" s="19" t="s">
        <v>5807</v>
      </c>
      <c r="U463" s="19">
        <v>308</v>
      </c>
      <c r="V463" s="115">
        <v>1812.728578</v>
      </c>
      <c r="W463" s="115">
        <f t="shared" si="96"/>
        <v>558320.40202399995</v>
      </c>
      <c r="X463" s="263" t="s">
        <v>5111</v>
      </c>
      <c r="Y463" t="s">
        <v>25</v>
      </c>
      <c r="AH463" s="147">
        <v>177</v>
      </c>
      <c r="AI463" s="147" t="s">
        <v>5770</v>
      </c>
      <c r="AJ463" s="186">
        <v>-15000000</v>
      </c>
      <c r="AK463" s="147">
        <v>65</v>
      </c>
      <c r="AL463" s="147">
        <f t="shared" si="113"/>
        <v>93</v>
      </c>
      <c r="AM463" s="147">
        <f t="shared" si="114"/>
        <v>-1395000000</v>
      </c>
      <c r="AN463" s="147" t="s">
        <v>5771</v>
      </c>
    </row>
    <row r="464" spans="17:44">
      <c r="Q464" s="97" t="s">
        <v>5657</v>
      </c>
      <c r="R464" s="93">
        <v>2281595.69937</v>
      </c>
      <c r="T464" s="19" t="s">
        <v>5809</v>
      </c>
      <c r="U464" s="19">
        <v>106</v>
      </c>
      <c r="V464" s="115">
        <v>1958.8888869</v>
      </c>
      <c r="W464" s="115">
        <f t="shared" si="96"/>
        <v>207642.22201140001</v>
      </c>
      <c r="X464" s="263" t="s">
        <v>5111</v>
      </c>
      <c r="AA464" t="s">
        <v>25</v>
      </c>
      <c r="AH464" s="147">
        <v>178</v>
      </c>
      <c r="AI464" s="147" t="s">
        <v>5831</v>
      </c>
      <c r="AJ464" s="186">
        <v>33833075</v>
      </c>
      <c r="AK464" s="147">
        <v>0</v>
      </c>
      <c r="AL464" s="147">
        <f t="shared" si="113"/>
        <v>28</v>
      </c>
      <c r="AM464" s="147">
        <f t="shared" si="114"/>
        <v>947326100</v>
      </c>
      <c r="AN464" s="147" t="s">
        <v>5835</v>
      </c>
      <c r="AR464" t="s">
        <v>25</v>
      </c>
    </row>
    <row r="465" spans="17:45">
      <c r="Q465" s="97" t="s">
        <v>5658</v>
      </c>
      <c r="R465" s="93">
        <v>2964916.035069</v>
      </c>
      <c r="T465" s="19" t="s">
        <v>5831</v>
      </c>
      <c r="U465" s="19">
        <v>17050</v>
      </c>
      <c r="V465" s="115">
        <v>1984.311475</v>
      </c>
      <c r="W465" s="115">
        <f t="shared" si="96"/>
        <v>33832510.64875</v>
      </c>
      <c r="X465" s="263" t="s">
        <v>5833</v>
      </c>
      <c r="Y465" t="s">
        <v>25</v>
      </c>
      <c r="AH465" s="20">
        <v>197</v>
      </c>
      <c r="AI465" s="20" t="s">
        <v>5831</v>
      </c>
      <c r="AJ465" s="115">
        <v>20033075</v>
      </c>
      <c r="AK465" s="20">
        <v>28</v>
      </c>
      <c r="AL465" s="20">
        <f t="shared" si="113"/>
        <v>28</v>
      </c>
      <c r="AM465" s="20">
        <f t="shared" si="114"/>
        <v>560926100</v>
      </c>
      <c r="AN465" s="20" t="s">
        <v>5835</v>
      </c>
      <c r="AR465" t="s">
        <v>25</v>
      </c>
    </row>
    <row r="466" spans="17:45">
      <c r="Q466" s="97" t="s">
        <v>5660</v>
      </c>
      <c r="R466" s="93">
        <v>6460549.4269619994</v>
      </c>
      <c r="T466" s="19" t="s">
        <v>5831</v>
      </c>
      <c r="U466" s="19">
        <v>17050</v>
      </c>
      <c r="V466" s="115">
        <v>1984.311475</v>
      </c>
      <c r="W466" s="115">
        <f t="shared" si="96"/>
        <v>33832510.64875</v>
      </c>
      <c r="X466" s="263" t="s">
        <v>5834</v>
      </c>
      <c r="Y466" t="s">
        <v>25</v>
      </c>
      <c r="AH466" s="147">
        <v>198</v>
      </c>
      <c r="AI466" s="147" t="s">
        <v>5858</v>
      </c>
      <c r="AJ466" s="186">
        <v>-22520813.151772</v>
      </c>
      <c r="AK466" s="147">
        <v>0</v>
      </c>
      <c r="AL466" s="147">
        <f>AK466+AL477</f>
        <v>0</v>
      </c>
      <c r="AM466" s="147">
        <f t="shared" si="114"/>
        <v>0</v>
      </c>
      <c r="AN466" s="147" t="s">
        <v>5867</v>
      </c>
    </row>
    <row r="467" spans="17:45">
      <c r="Q467" s="97" t="s">
        <v>5663</v>
      </c>
      <c r="R467" s="93">
        <v>5212319.8968359996</v>
      </c>
      <c r="T467" s="19" t="s">
        <v>5836</v>
      </c>
      <c r="U467" s="19">
        <v>9659</v>
      </c>
      <c r="V467" s="115">
        <v>2073.8685089999999</v>
      </c>
      <c r="W467" s="115">
        <f t="shared" si="96"/>
        <v>20031495.928431001</v>
      </c>
      <c r="X467" s="263" t="s">
        <v>5837</v>
      </c>
      <c r="Y467" t="s">
        <v>25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c r="Q468" s="97" t="s">
        <v>5665</v>
      </c>
      <c r="R468" s="93">
        <v>4524496.4792809999</v>
      </c>
      <c r="T468" s="19" t="s">
        <v>5846</v>
      </c>
      <c r="U468" s="19">
        <v>323</v>
      </c>
      <c r="V468" s="115">
        <v>1975.162028</v>
      </c>
      <c r="W468" s="115">
        <f t="shared" si="96"/>
        <v>637977.33504399995</v>
      </c>
      <c r="X468" s="263" t="s">
        <v>5111</v>
      </c>
      <c r="AH468" s="20">
        <v>200</v>
      </c>
      <c r="AI468" s="20" t="s">
        <v>5858</v>
      </c>
      <c r="AJ468" s="115">
        <v>50000000</v>
      </c>
      <c r="AK468" s="20">
        <v>1</v>
      </c>
      <c r="AL468" s="20">
        <f t="shared" si="115"/>
        <v>41</v>
      </c>
      <c r="AM468" s="20">
        <f t="shared" si="116"/>
        <v>2050000000</v>
      </c>
      <c r="AN468" s="20" t="s">
        <v>5869</v>
      </c>
    </row>
    <row r="469" spans="17:45">
      <c r="Q469" s="97" t="s">
        <v>5667</v>
      </c>
      <c r="R469" s="93">
        <v>22866040.240959998</v>
      </c>
      <c r="T469" s="19" t="s">
        <v>5847</v>
      </c>
      <c r="U469" s="19">
        <v>238</v>
      </c>
      <c r="V469" s="115">
        <v>1960.303598</v>
      </c>
      <c r="W469" s="115">
        <f t="shared" si="96"/>
        <v>466552.25632400002</v>
      </c>
      <c r="X469" s="263" t="s">
        <v>5111</v>
      </c>
      <c r="Z469" t="s">
        <v>25</v>
      </c>
      <c r="AH469" s="20">
        <v>201</v>
      </c>
      <c r="AI469" s="20" t="s">
        <v>5875</v>
      </c>
      <c r="AJ469" s="115">
        <v>50000000</v>
      </c>
      <c r="AK469" s="20">
        <v>8</v>
      </c>
      <c r="AL469" s="20">
        <f t="shared" si="115"/>
        <v>40</v>
      </c>
      <c r="AM469" s="20">
        <f t="shared" si="116"/>
        <v>2000000000</v>
      </c>
      <c r="AN469" s="20" t="s">
        <v>5869</v>
      </c>
    </row>
    <row r="470" spans="17:45">
      <c r="Q470" s="97" t="s">
        <v>5669</v>
      </c>
      <c r="R470" s="93">
        <v>15359304.269892</v>
      </c>
      <c r="T470" s="19" t="s">
        <v>5848</v>
      </c>
      <c r="U470" s="19">
        <v>75</v>
      </c>
      <c r="V470" s="115">
        <v>1990.893174</v>
      </c>
      <c r="W470" s="115">
        <f t="shared" si="96"/>
        <v>149316.98805000001</v>
      </c>
      <c r="X470" s="263" t="s">
        <v>5849</v>
      </c>
      <c r="Z470" t="s">
        <v>25</v>
      </c>
      <c r="AH470" s="20">
        <v>202</v>
      </c>
      <c r="AI470" s="20" t="s">
        <v>6424</v>
      </c>
      <c r="AJ470" s="115">
        <v>30000000</v>
      </c>
      <c r="AK470" s="20">
        <v>2</v>
      </c>
      <c r="AL470" s="20">
        <f t="shared" si="115"/>
        <v>32</v>
      </c>
      <c r="AM470" s="20">
        <f t="shared" si="116"/>
        <v>960000000</v>
      </c>
      <c r="AN470" s="20" t="s">
        <v>6425</v>
      </c>
    </row>
    <row r="471" spans="17:45">
      <c r="Q471" s="97" t="s">
        <v>5670</v>
      </c>
      <c r="R471" s="93">
        <v>2868508.1846330003</v>
      </c>
      <c r="T471" s="19" t="s">
        <v>5848</v>
      </c>
      <c r="U471" s="19">
        <v>95</v>
      </c>
      <c r="V471" s="115">
        <v>1990.893174</v>
      </c>
      <c r="W471" s="115">
        <f t="shared" si="96"/>
        <v>189134.85153000001</v>
      </c>
      <c r="X471" s="263" t="s">
        <v>5111</v>
      </c>
      <c r="Z471" t="s">
        <v>25</v>
      </c>
      <c r="AH471" s="147">
        <v>203</v>
      </c>
      <c r="AI471" s="147" t="s">
        <v>6429</v>
      </c>
      <c r="AJ471" s="186">
        <v>20000000</v>
      </c>
      <c r="AK471" s="147">
        <v>29</v>
      </c>
      <c r="AL471" s="147">
        <f t="shared" si="115"/>
        <v>30</v>
      </c>
      <c r="AM471" s="147">
        <f t="shared" si="116"/>
        <v>600000000</v>
      </c>
      <c r="AN471" s="147" t="s">
        <v>6430</v>
      </c>
    </row>
    <row r="472" spans="17:45">
      <c r="Q472" s="97" t="s">
        <v>5671</v>
      </c>
      <c r="R472" s="93">
        <v>17450393.011856001</v>
      </c>
      <c r="T472" s="19" t="s">
        <v>5852</v>
      </c>
      <c r="U472" s="19">
        <v>284</v>
      </c>
      <c r="V472" s="115">
        <v>1989.045169</v>
      </c>
      <c r="W472" s="115">
        <f t="shared" si="96"/>
        <v>564888.82799599995</v>
      </c>
      <c r="X472" s="263" t="s">
        <v>5111</v>
      </c>
      <c r="Z472" t="s">
        <v>25</v>
      </c>
      <c r="AH472" s="147">
        <v>204</v>
      </c>
      <c r="AI472" s="147" t="s">
        <v>6467</v>
      </c>
      <c r="AJ472" s="186">
        <v>-20000000</v>
      </c>
      <c r="AK472" s="147">
        <v>0</v>
      </c>
      <c r="AL472" s="147">
        <f t="shared" si="115"/>
        <v>1</v>
      </c>
      <c r="AM472" s="147">
        <f t="shared" si="116"/>
        <v>-20000000</v>
      </c>
      <c r="AN472" s="147" t="s">
        <v>6468</v>
      </c>
    </row>
    <row r="473" spans="17:45" ht="30">
      <c r="Q473" s="97" t="s">
        <v>5672</v>
      </c>
      <c r="R473" s="93">
        <v>31388943.254850004</v>
      </c>
      <c r="T473" s="187" t="s">
        <v>5858</v>
      </c>
      <c r="U473" s="187">
        <v>11034</v>
      </c>
      <c r="V473" s="186">
        <v>1960.6845390000001</v>
      </c>
      <c r="W473" s="186">
        <f t="shared" si="96"/>
        <v>21634193.203326002</v>
      </c>
      <c r="X473" s="262" t="s">
        <v>5863</v>
      </c>
      <c r="Z473" t="s">
        <v>25</v>
      </c>
      <c r="AH473" s="147">
        <v>205</v>
      </c>
      <c r="AI473" s="147" t="s">
        <v>6467</v>
      </c>
      <c r="AJ473" s="186">
        <v>2000000</v>
      </c>
      <c r="AK473" s="147">
        <v>1</v>
      </c>
      <c r="AL473" s="147">
        <f t="shared" si="115"/>
        <v>1</v>
      </c>
      <c r="AM473" s="147">
        <f t="shared" si="116"/>
        <v>2000000</v>
      </c>
      <c r="AN473" s="147" t="s">
        <v>6469</v>
      </c>
    </row>
    <row r="474" spans="17:45" ht="30">
      <c r="Q474" s="97" t="s">
        <v>5674</v>
      </c>
      <c r="R474" s="93">
        <v>30912095.373174001</v>
      </c>
      <c r="T474" s="19" t="s">
        <v>5858</v>
      </c>
      <c r="U474" s="19">
        <v>4469</v>
      </c>
      <c r="V474" s="115">
        <v>1960.6845390000001</v>
      </c>
      <c r="W474" s="115">
        <f t="shared" si="96"/>
        <v>8762299.2047910001</v>
      </c>
      <c r="X474" s="263" t="s">
        <v>5864</v>
      </c>
      <c r="Z474" t="s">
        <v>25</v>
      </c>
      <c r="AH474" s="20"/>
      <c r="AI474" s="20"/>
      <c r="AJ474" s="115"/>
      <c r="AK474" s="20"/>
      <c r="AL474" s="20">
        <f t="shared" si="115"/>
        <v>0</v>
      </c>
      <c r="AM474" s="20">
        <f t="shared" si="116"/>
        <v>0</v>
      </c>
      <c r="AN474" s="20"/>
    </row>
    <row r="475" spans="17:45">
      <c r="Q475" s="97" t="s">
        <v>5678</v>
      </c>
      <c r="R475" s="93">
        <v>19602926.115093999</v>
      </c>
      <c r="T475" s="19" t="s">
        <v>5858</v>
      </c>
      <c r="U475" s="19">
        <v>-174834</v>
      </c>
      <c r="V475" s="115">
        <v>1955.271154</v>
      </c>
      <c r="W475" s="115">
        <f t="shared" si="96"/>
        <v>-341847876.93843603</v>
      </c>
      <c r="X475" s="263" t="s">
        <v>5865</v>
      </c>
      <c r="AH475" s="20"/>
      <c r="AI475" s="20"/>
      <c r="AJ475" s="115"/>
      <c r="AK475" s="20"/>
      <c r="AL475" s="20">
        <f t="shared" si="115"/>
        <v>0</v>
      </c>
      <c r="AM475" s="20">
        <f t="shared" si="116"/>
        <v>0</v>
      </c>
      <c r="AN475" s="20"/>
    </row>
    <row r="476" spans="17:45">
      <c r="Q476" s="97" t="s">
        <v>5680</v>
      </c>
      <c r="R476" s="93">
        <v>34458590.308710001</v>
      </c>
      <c r="T476" s="19" t="s">
        <v>5858</v>
      </c>
      <c r="U476" s="19">
        <v>-78942</v>
      </c>
      <c r="V476" s="115">
        <v>1955.271154</v>
      </c>
      <c r="W476" s="115">
        <f t="shared" si="96"/>
        <v>-154353015.43906799</v>
      </c>
      <c r="X476" s="263" t="s">
        <v>5866</v>
      </c>
      <c r="Z476" t="s">
        <v>25</v>
      </c>
      <c r="AA476" t="s">
        <v>25</v>
      </c>
      <c r="AH476" s="20"/>
      <c r="AI476" s="20"/>
      <c r="AJ476" s="115"/>
      <c r="AK476" s="20"/>
      <c r="AL476" s="20">
        <f t="shared" si="115"/>
        <v>0</v>
      </c>
      <c r="AM476" s="20">
        <f t="shared" si="116"/>
        <v>0</v>
      </c>
      <c r="AN476" s="20"/>
    </row>
    <row r="477" spans="17:45">
      <c r="Q477" s="97" t="s">
        <v>5682</v>
      </c>
      <c r="R477" s="93">
        <v>21697868.203256</v>
      </c>
      <c r="T477" s="187" t="s">
        <v>5858</v>
      </c>
      <c r="U477" s="187">
        <v>-11518</v>
      </c>
      <c r="V477" s="186">
        <v>1955.271154</v>
      </c>
      <c r="W477" s="186">
        <f t="shared" si="96"/>
        <v>-22520813.151772</v>
      </c>
      <c r="X477" s="262" t="s">
        <v>5867</v>
      </c>
      <c r="AH477" s="97"/>
      <c r="AI477" s="97"/>
      <c r="AJ477" s="115"/>
      <c r="AK477" s="97"/>
      <c r="AL477" s="20">
        <f t="shared" si="115"/>
        <v>0</v>
      </c>
      <c r="AM477" s="20">
        <f t="shared" si="116"/>
        <v>0</v>
      </c>
      <c r="AN477" s="20"/>
    </row>
    <row r="478" spans="17:45">
      <c r="Q478" s="97" t="s">
        <v>5683</v>
      </c>
      <c r="R478" s="93">
        <v>25340079.252110001</v>
      </c>
      <c r="T478" s="19" t="s">
        <v>5878</v>
      </c>
      <c r="U478" s="19">
        <v>8622</v>
      </c>
      <c r="V478" s="115">
        <v>1930.4022150000001</v>
      </c>
      <c r="W478" s="115">
        <f t="shared" si="96"/>
        <v>16643927.89773</v>
      </c>
      <c r="X478" s="263" t="s">
        <v>744</v>
      </c>
      <c r="Z478" t="s">
        <v>25</v>
      </c>
      <c r="AH478" s="97"/>
      <c r="AI478" s="97"/>
      <c r="AJ478" s="115"/>
      <c r="AK478" s="97"/>
      <c r="AL478" s="20">
        <f t="shared" si="111"/>
        <v>0</v>
      </c>
      <c r="AM478" s="20">
        <f t="shared" si="112"/>
        <v>0</v>
      </c>
      <c r="AN478" s="97"/>
    </row>
    <row r="479" spans="17:45">
      <c r="Q479" s="97" t="s">
        <v>5686</v>
      </c>
      <c r="R479" s="93">
        <v>14780983.183526</v>
      </c>
      <c r="T479" s="19" t="s">
        <v>5879</v>
      </c>
      <c r="U479" s="19">
        <v>17384</v>
      </c>
      <c r="V479" s="115">
        <v>1918.745255</v>
      </c>
      <c r="W479" s="115">
        <f t="shared" si="96"/>
        <v>33355467.51292</v>
      </c>
      <c r="X479" s="263"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5686</v>
      </c>
      <c r="R480" s="93">
        <v>17804396.448481999</v>
      </c>
      <c r="T480" s="19" t="s">
        <v>5891</v>
      </c>
      <c r="U480" s="19">
        <v>133</v>
      </c>
      <c r="V480" s="115">
        <v>1954.8389770000001</v>
      </c>
      <c r="W480" s="115">
        <f t="shared" si="96"/>
        <v>259993.58394100002</v>
      </c>
      <c r="X480" s="263" t="s">
        <v>5111</v>
      </c>
      <c r="AJ480" t="s">
        <v>4043</v>
      </c>
      <c r="AM480" t="s">
        <v>284</v>
      </c>
      <c r="AN480" t="s">
        <v>928</v>
      </c>
    </row>
    <row r="481" spans="17:40">
      <c r="Q481" s="97" t="s">
        <v>5689</v>
      </c>
      <c r="R481" s="93">
        <v>260260000</v>
      </c>
      <c r="T481" s="19" t="s">
        <v>5893</v>
      </c>
      <c r="U481" s="19">
        <v>140</v>
      </c>
      <c r="V481" s="115">
        <v>1928.2522289999999</v>
      </c>
      <c r="W481" s="115">
        <f t="shared" si="96"/>
        <v>269955.31205999997</v>
      </c>
      <c r="X481" s="263" t="s">
        <v>5111</v>
      </c>
      <c r="Y481" t="s">
        <v>25</v>
      </c>
      <c r="AA481" t="s">
        <v>25</v>
      </c>
    </row>
    <row r="482" spans="17:40">
      <c r="Q482" s="97" t="s">
        <v>5690</v>
      </c>
      <c r="R482" s="93">
        <v>11538335.631417999</v>
      </c>
      <c r="T482" s="19" t="s">
        <v>6426</v>
      </c>
      <c r="U482" s="19">
        <v>15839</v>
      </c>
      <c r="V482" s="115">
        <v>1893.9957079999999</v>
      </c>
      <c r="W482" s="115">
        <f t="shared" si="96"/>
        <v>29998998.019012</v>
      </c>
      <c r="X482" s="263" t="s">
        <v>6425</v>
      </c>
      <c r="Z482" t="s">
        <v>25</v>
      </c>
      <c r="AI482" t="s">
        <v>4045</v>
      </c>
      <c r="AJ482" s="112">
        <f>AJ479+AN479</f>
        <v>323780714.39298034</v>
      </c>
      <c r="AM482" t="s">
        <v>25</v>
      </c>
    </row>
    <row r="483" spans="17:40">
      <c r="Q483" s="97" t="s">
        <v>5698</v>
      </c>
      <c r="R483" s="93">
        <v>12429517.767776001</v>
      </c>
      <c r="T483" s="19" t="s">
        <v>6429</v>
      </c>
      <c r="U483" s="19">
        <v>26601</v>
      </c>
      <c r="V483" s="115">
        <v>1880.082026</v>
      </c>
      <c r="W483" s="115">
        <f t="shared" si="96"/>
        <v>50012061.973626003</v>
      </c>
      <c r="X483" s="263" t="s">
        <v>5351</v>
      </c>
      <c r="AI483" t="s">
        <v>4048</v>
      </c>
      <c r="AJ483" s="112">
        <f>SUM(N20:N33)</f>
        <v>4390125208</v>
      </c>
    </row>
    <row r="484" spans="17:40">
      <c r="Q484" s="97" t="s">
        <v>5700</v>
      </c>
      <c r="R484" s="93">
        <v>5031176.5087869996</v>
      </c>
      <c r="T484" s="187" t="s">
        <v>6429</v>
      </c>
      <c r="U484" s="187">
        <v>10637</v>
      </c>
      <c r="V484" s="186">
        <v>1880.082026</v>
      </c>
      <c r="W484" s="186">
        <f t="shared" si="96"/>
        <v>19998432.510561999</v>
      </c>
      <c r="X484" s="262" t="s">
        <v>6430</v>
      </c>
      <c r="Y484" t="s">
        <v>25</v>
      </c>
      <c r="AI484" t="s">
        <v>4118</v>
      </c>
      <c r="AJ484" s="112">
        <f>AJ483-AJ479</f>
        <v>4188332531.151772</v>
      </c>
    </row>
    <row r="485" spans="17:40">
      <c r="Q485" s="97" t="s">
        <v>5704</v>
      </c>
      <c r="R485" s="93">
        <v>6822803.9080700008</v>
      </c>
      <c r="T485" s="19" t="s">
        <v>6435</v>
      </c>
      <c r="U485" s="19">
        <v>306</v>
      </c>
      <c r="V485" s="115">
        <v>1831.8117119999999</v>
      </c>
      <c r="W485" s="115">
        <f t="shared" si="96"/>
        <v>560534.38387200003</v>
      </c>
      <c r="X485" s="263" t="s">
        <v>5111</v>
      </c>
      <c r="Y485" t="s">
        <v>25</v>
      </c>
      <c r="AI485" t="s">
        <v>928</v>
      </c>
      <c r="AJ485" s="112">
        <f>AN479</f>
        <v>121988037.54475237</v>
      </c>
    </row>
    <row r="486" spans="17:40">
      <c r="Q486" s="97" t="s">
        <v>5713</v>
      </c>
      <c r="R486" s="93">
        <v>330889.73324399994</v>
      </c>
      <c r="T486" s="19" t="s">
        <v>6441</v>
      </c>
      <c r="U486" s="19">
        <v>325</v>
      </c>
      <c r="V486" s="115">
        <v>1789.1845169999999</v>
      </c>
      <c r="W486" s="115">
        <f t="shared" si="96"/>
        <v>581484.96802499995</v>
      </c>
      <c r="X486" s="263" t="s">
        <v>5111</v>
      </c>
      <c r="Z486" t="s">
        <v>25</v>
      </c>
      <c r="AI486" t="s">
        <v>4049</v>
      </c>
      <c r="AJ486" s="112">
        <f>AJ484-AJ485</f>
        <v>4066344493.6070194</v>
      </c>
      <c r="AM486" t="s">
        <v>25</v>
      </c>
      <c r="AN486" t="s">
        <v>25</v>
      </c>
    </row>
    <row r="487" spans="17:40">
      <c r="Q487" s="97" t="s">
        <v>5714</v>
      </c>
      <c r="R487" s="93">
        <v>6610318.1610199995</v>
      </c>
      <c r="T487" s="19" t="s">
        <v>6444</v>
      </c>
      <c r="U487" s="19">
        <v>1154</v>
      </c>
      <c r="V487" s="115">
        <v>1851.788857</v>
      </c>
      <c r="W487" s="115">
        <f t="shared" si="96"/>
        <v>2136964.3409779998</v>
      </c>
      <c r="X487" s="263" t="s">
        <v>5111</v>
      </c>
      <c r="Z487" t="s">
        <v>25</v>
      </c>
      <c r="AA487" t="s">
        <v>25</v>
      </c>
      <c r="AL487" t="s">
        <v>25</v>
      </c>
      <c r="AM487" t="s">
        <v>25</v>
      </c>
      <c r="AN487" t="s">
        <v>25</v>
      </c>
    </row>
    <row r="488" spans="17:40" ht="30">
      <c r="Q488" s="97" t="s">
        <v>5716</v>
      </c>
      <c r="R488" s="93">
        <v>710713.17725199996</v>
      </c>
      <c r="T488" s="19" t="s">
        <v>6444</v>
      </c>
      <c r="U488" s="19">
        <v>3240</v>
      </c>
      <c r="V488" s="115">
        <v>1851.788857</v>
      </c>
      <c r="W488" s="115">
        <f t="shared" si="96"/>
        <v>5999795.8966800002</v>
      </c>
      <c r="X488" s="263" t="s">
        <v>6446</v>
      </c>
    </row>
    <row r="489" spans="17:40">
      <c r="Q489" s="97" t="s">
        <v>5719</v>
      </c>
      <c r="R489" s="93">
        <v>81025</v>
      </c>
      <c r="T489" s="19" t="s">
        <v>6444</v>
      </c>
      <c r="U489" s="19">
        <v>-3240</v>
      </c>
      <c r="V489" s="115">
        <v>1851.788857</v>
      </c>
      <c r="W489" s="115">
        <f t="shared" si="96"/>
        <v>-5999795.8966800002</v>
      </c>
      <c r="X489" s="263" t="s">
        <v>6447</v>
      </c>
      <c r="Z489" t="s">
        <v>25</v>
      </c>
      <c r="AA489" t="s">
        <v>25</v>
      </c>
    </row>
    <row r="490" spans="17:40">
      <c r="Q490" s="97" t="s">
        <v>5720</v>
      </c>
      <c r="R490" s="93">
        <v>219696.613128</v>
      </c>
      <c r="T490" s="19" t="s">
        <v>6448</v>
      </c>
      <c r="U490" s="19">
        <v>330</v>
      </c>
      <c r="V490" s="115">
        <v>1799.34311</v>
      </c>
      <c r="W490" s="115">
        <f t="shared" si="96"/>
        <v>593783.22629999998</v>
      </c>
      <c r="X490" s="263" t="s">
        <v>5111</v>
      </c>
      <c r="AN490" t="s">
        <v>25</v>
      </c>
    </row>
    <row r="491" spans="17:40">
      <c r="Q491" s="97" t="s">
        <v>5722</v>
      </c>
      <c r="R491" s="93">
        <v>6035472.4070199998</v>
      </c>
      <c r="T491" s="19" t="s">
        <v>6452</v>
      </c>
      <c r="U491" s="19">
        <v>266</v>
      </c>
      <c r="V491" s="115">
        <v>1764.9246700000001</v>
      </c>
      <c r="W491" s="115">
        <f t="shared" si="96"/>
        <v>469469.96222000004</v>
      </c>
      <c r="X491" s="263" t="s">
        <v>5111</v>
      </c>
      <c r="Y491" t="s">
        <v>25</v>
      </c>
      <c r="AA491" t="s">
        <v>25</v>
      </c>
      <c r="AN491" t="s">
        <v>25</v>
      </c>
    </row>
    <row r="492" spans="17:40">
      <c r="Q492" s="97" t="s">
        <v>5724</v>
      </c>
      <c r="R492" s="93">
        <v>984486.34963200008</v>
      </c>
      <c r="T492" s="187" t="s">
        <v>6467</v>
      </c>
      <c r="U492" s="187">
        <v>-10637</v>
      </c>
      <c r="V492" s="186">
        <v>1739.5916549999999</v>
      </c>
      <c r="W492" s="186">
        <f t="shared" si="96"/>
        <v>-18504036.434234999</v>
      </c>
      <c r="X492" s="262" t="s">
        <v>6470</v>
      </c>
      <c r="Y492" t="s">
        <v>25</v>
      </c>
      <c r="AA492" t="s">
        <v>25</v>
      </c>
    </row>
    <row r="493" spans="17:40">
      <c r="Q493" s="97" t="s">
        <v>5736</v>
      </c>
      <c r="R493" s="93">
        <v>2143469.938015</v>
      </c>
      <c r="T493" s="19" t="s">
        <v>6467</v>
      </c>
      <c r="U493" s="19">
        <v>10637</v>
      </c>
      <c r="V493" s="115">
        <v>1739.5916549999999</v>
      </c>
      <c r="W493" s="115">
        <f t="shared" si="96"/>
        <v>18504036.434234999</v>
      </c>
      <c r="X493" s="263" t="s">
        <v>6471</v>
      </c>
    </row>
    <row r="494" spans="17:40" ht="30">
      <c r="Q494" s="97" t="s">
        <v>5738</v>
      </c>
      <c r="R494" s="93">
        <v>3085460.5177150001</v>
      </c>
      <c r="T494" s="19" t="s">
        <v>6500</v>
      </c>
      <c r="U494" s="19">
        <v>39478</v>
      </c>
      <c r="V494" s="115">
        <v>1873.903047</v>
      </c>
      <c r="W494" s="115">
        <f t="shared" si="96"/>
        <v>73977944.489465997</v>
      </c>
      <c r="X494" s="263" t="s">
        <v>6501</v>
      </c>
      <c r="AA494" t="s">
        <v>25</v>
      </c>
    </row>
    <row r="495" spans="17:40">
      <c r="Q495" s="97" t="s">
        <v>5740</v>
      </c>
      <c r="R495" s="93">
        <v>8261456.790906</v>
      </c>
      <c r="T495" s="19" t="s">
        <v>6505</v>
      </c>
      <c r="U495" s="19">
        <v>283</v>
      </c>
      <c r="V495" s="115">
        <v>2014.7222959999999</v>
      </c>
      <c r="W495" s="115">
        <f t="shared" si="96"/>
        <v>570166.40976800001</v>
      </c>
      <c r="X495" s="263" t="s">
        <v>6506</v>
      </c>
      <c r="Y495" t="s">
        <v>25</v>
      </c>
      <c r="AA495" t="s">
        <v>25</v>
      </c>
      <c r="AB495" t="s">
        <v>25</v>
      </c>
    </row>
    <row r="496" spans="17:40">
      <c r="Q496" s="97" t="s">
        <v>5745</v>
      </c>
      <c r="R496" s="93">
        <v>6572373.7593120001</v>
      </c>
      <c r="T496" s="19" t="s">
        <v>6509</v>
      </c>
      <c r="U496" s="19">
        <v>1704</v>
      </c>
      <c r="V496" s="115">
        <v>2104.0605820000001</v>
      </c>
      <c r="W496" s="115">
        <f t="shared" si="96"/>
        <v>3585319.2317280001</v>
      </c>
      <c r="X496" s="263" t="s">
        <v>5111</v>
      </c>
      <c r="Z496" t="s">
        <v>25</v>
      </c>
      <c r="AA496" t="s">
        <v>25</v>
      </c>
    </row>
    <row r="497" spans="17:28">
      <c r="Q497" s="97" t="s">
        <v>5747</v>
      </c>
      <c r="R497" s="93">
        <v>2893243.5730909999</v>
      </c>
      <c r="T497" s="19" t="s">
        <v>6512</v>
      </c>
      <c r="U497" s="19">
        <v>324</v>
      </c>
      <c r="V497" s="115">
        <v>2088.5824040000002</v>
      </c>
      <c r="W497" s="115">
        <f t="shared" si="96"/>
        <v>676700.69889600005</v>
      </c>
      <c r="X497" s="263" t="s">
        <v>5111</v>
      </c>
      <c r="Y497" t="s">
        <v>25</v>
      </c>
      <c r="Z497" t="s">
        <v>25</v>
      </c>
    </row>
    <row r="498" spans="17:28">
      <c r="Q498" s="97" t="s">
        <v>5753</v>
      </c>
      <c r="R498" s="93">
        <v>94992058.939007998</v>
      </c>
      <c r="T498" s="19" t="s">
        <v>6522</v>
      </c>
      <c r="U498" s="19">
        <v>538</v>
      </c>
      <c r="V498" s="115">
        <v>2055.3485930000002</v>
      </c>
      <c r="W498" s="115">
        <f t="shared" si="96"/>
        <v>1105777.5430340001</v>
      </c>
      <c r="X498" s="263" t="s">
        <v>5111</v>
      </c>
      <c r="Y498" t="s">
        <v>25</v>
      </c>
      <c r="AA498" t="s">
        <v>25</v>
      </c>
    </row>
    <row r="499" spans="17:28">
      <c r="Q499" s="97" t="s">
        <v>5760</v>
      </c>
      <c r="R499" s="93">
        <v>275021.925965</v>
      </c>
      <c r="T499" s="19" t="s">
        <v>6526</v>
      </c>
      <c r="U499" s="19">
        <v>1031</v>
      </c>
      <c r="V499" s="115">
        <v>2245.620621</v>
      </c>
      <c r="W499" s="115">
        <f t="shared" si="96"/>
        <v>2315234.8602510002</v>
      </c>
      <c r="X499" s="263" t="s">
        <v>5111</v>
      </c>
      <c r="Y499" t="s">
        <v>25</v>
      </c>
      <c r="AA499" t="s">
        <v>25</v>
      </c>
    </row>
    <row r="500" spans="17:28">
      <c r="Q500" s="97" t="s">
        <v>5772</v>
      </c>
      <c r="R500" s="93">
        <v>327451.9203</v>
      </c>
      <c r="T500" s="19" t="s">
        <v>6528</v>
      </c>
      <c r="U500" s="19">
        <v>1804</v>
      </c>
      <c r="V500" s="115">
        <v>2292.882846</v>
      </c>
      <c r="W500" s="115">
        <f t="shared" si="96"/>
        <v>4136360.6541840001</v>
      </c>
      <c r="X500" s="263" t="s">
        <v>5111</v>
      </c>
    </row>
    <row r="501" spans="17:28">
      <c r="Q501" s="97" t="s">
        <v>5781</v>
      </c>
      <c r="R501" s="93">
        <v>260081.94096800001</v>
      </c>
      <c r="T501" s="19" t="s">
        <v>6531</v>
      </c>
      <c r="U501" s="19">
        <v>1348</v>
      </c>
      <c r="V501" s="115">
        <v>2252.0137020000002</v>
      </c>
      <c r="W501" s="115">
        <f t="shared" si="96"/>
        <v>3035714.4702960001</v>
      </c>
      <c r="X501" s="263" t="s">
        <v>5111</v>
      </c>
      <c r="AB501" t="s">
        <v>25</v>
      </c>
    </row>
    <row r="502" spans="17:28">
      <c r="Q502" s="97" t="s">
        <v>5782</v>
      </c>
      <c r="R502" s="93">
        <v>2909284.5308940001</v>
      </c>
      <c r="T502" s="19" t="s">
        <v>6542</v>
      </c>
      <c r="U502" s="19">
        <v>-76536</v>
      </c>
      <c r="V502" s="115">
        <v>2350.6086869999999</v>
      </c>
      <c r="W502" s="115">
        <f t="shared" si="96"/>
        <v>-179906186.46823201</v>
      </c>
      <c r="X502" s="263" t="s">
        <v>6545</v>
      </c>
      <c r="AA502" t="s">
        <v>25</v>
      </c>
    </row>
    <row r="503" spans="17:28">
      <c r="Q503" s="97" t="s">
        <v>5783</v>
      </c>
      <c r="R503" s="93">
        <v>37723205.094084002</v>
      </c>
      <c r="T503" s="19" t="s">
        <v>6548</v>
      </c>
      <c r="U503" s="19">
        <v>145</v>
      </c>
      <c r="V503" s="115">
        <v>2379.7882030000001</v>
      </c>
      <c r="W503" s="115">
        <f t="shared" si="96"/>
        <v>345069.28943499998</v>
      </c>
      <c r="X503" s="263" t="s">
        <v>5111</v>
      </c>
      <c r="Y503" t="s">
        <v>25</v>
      </c>
    </row>
    <row r="504" spans="17:28">
      <c r="Q504" s="97" t="s">
        <v>5784</v>
      </c>
      <c r="R504" s="93">
        <v>1500094.75168</v>
      </c>
      <c r="T504" s="187" t="s">
        <v>6548</v>
      </c>
      <c r="U504" s="187">
        <v>55</v>
      </c>
      <c r="V504" s="186">
        <v>2379.7882030000001</v>
      </c>
      <c r="W504" s="186">
        <f t="shared" si="96"/>
        <v>130888.351165</v>
      </c>
      <c r="X504" s="262" t="s">
        <v>6636</v>
      </c>
      <c r="Z504" t="s">
        <v>25</v>
      </c>
      <c r="AB504" t="s">
        <v>25</v>
      </c>
    </row>
    <row r="505" spans="17:28">
      <c r="Q505" s="97" t="s">
        <v>5786</v>
      </c>
      <c r="R505" s="93">
        <v>7230628.4378079996</v>
      </c>
      <c r="T505" s="19" t="s">
        <v>6548</v>
      </c>
      <c r="U505" s="19">
        <v>53</v>
      </c>
      <c r="V505" s="115">
        <v>2379.7882030000001</v>
      </c>
      <c r="W505" s="115">
        <f t="shared" si="96"/>
        <v>126128.77475900001</v>
      </c>
      <c r="X505" s="263" t="s">
        <v>6637</v>
      </c>
      <c r="Z505" t="s">
        <v>25</v>
      </c>
    </row>
    <row r="506" spans="17:28">
      <c r="Q506" s="97" t="s">
        <v>5787</v>
      </c>
      <c r="R506" s="93">
        <v>29767389.390390001</v>
      </c>
      <c r="T506" s="19" t="s">
        <v>6643</v>
      </c>
      <c r="U506" s="19">
        <v>243</v>
      </c>
      <c r="V506" s="115">
        <v>2336.5653440000001</v>
      </c>
      <c r="W506" s="115">
        <f t="shared" si="96"/>
        <v>567785.37859199999</v>
      </c>
      <c r="X506" s="263" t="s">
        <v>5111</v>
      </c>
      <c r="AB506" t="s">
        <v>25</v>
      </c>
    </row>
    <row r="507" spans="17:28">
      <c r="Q507" s="97" t="s">
        <v>5789</v>
      </c>
      <c r="R507" s="93">
        <v>151560.25597</v>
      </c>
      <c r="T507" s="19" t="s">
        <v>6660</v>
      </c>
      <c r="U507" s="19">
        <v>81</v>
      </c>
      <c r="V507" s="115">
        <v>2341.77675</v>
      </c>
      <c r="W507" s="115">
        <f t="shared" si="96"/>
        <v>189683.91675</v>
      </c>
      <c r="X507" s="263" t="s">
        <v>5111</v>
      </c>
      <c r="Y507" t="s">
        <v>25</v>
      </c>
    </row>
    <row r="508" spans="17:28">
      <c r="Q508" s="97" t="s">
        <v>5792</v>
      </c>
      <c r="R508" s="93">
        <v>481318.88078800001</v>
      </c>
      <c r="T508" s="187" t="s">
        <v>6662</v>
      </c>
      <c r="U508" s="187">
        <v>21767</v>
      </c>
      <c r="V508" s="186">
        <v>2297.060872</v>
      </c>
      <c r="W508" s="186">
        <f t="shared" si="96"/>
        <v>50000124.000823997</v>
      </c>
      <c r="X508" s="262" t="s">
        <v>6664</v>
      </c>
    </row>
    <row r="509" spans="17:28">
      <c r="Q509" s="97" t="s">
        <v>5804</v>
      </c>
      <c r="R509" s="93">
        <v>146277.56820000001</v>
      </c>
      <c r="T509" s="19" t="s">
        <v>6662</v>
      </c>
      <c r="U509" s="19">
        <v>4353</v>
      </c>
      <c r="V509" s="115">
        <v>2297.060872</v>
      </c>
      <c r="W509" s="115">
        <f t="shared" si="96"/>
        <v>9999105.9758160003</v>
      </c>
      <c r="X509" s="263" t="s">
        <v>6665</v>
      </c>
      <c r="Z509" t="s">
        <v>25</v>
      </c>
      <c r="AA509" t="s">
        <v>25</v>
      </c>
    </row>
    <row r="510" spans="17:28">
      <c r="Q510" s="97" t="s">
        <v>5807</v>
      </c>
      <c r="R510" s="93">
        <v>424693.40162399999</v>
      </c>
      <c r="T510" s="19" t="s">
        <v>6662</v>
      </c>
      <c r="U510" s="19">
        <v>226</v>
      </c>
      <c r="V510" s="115">
        <v>2297.060872</v>
      </c>
      <c r="W510" s="115">
        <f t="shared" si="96"/>
        <v>519135.75707200001</v>
      </c>
      <c r="X510" s="263" t="s">
        <v>5111</v>
      </c>
    </row>
    <row r="511" spans="17:28">
      <c r="Q511" s="97" t="s">
        <v>5809</v>
      </c>
      <c r="R511" s="93">
        <v>558320.40202399995</v>
      </c>
      <c r="T511" s="19" t="s">
        <v>6671</v>
      </c>
      <c r="U511" s="19">
        <v>1416</v>
      </c>
      <c r="V511" s="115">
        <v>2405.6595360000001</v>
      </c>
      <c r="W511" s="115">
        <f t="shared" si="96"/>
        <v>3406413.9029760002</v>
      </c>
      <c r="X511" s="263" t="s">
        <v>5111</v>
      </c>
      <c r="Z511" t="s">
        <v>25</v>
      </c>
    </row>
    <row r="512" spans="17:28">
      <c r="Q512" s="97" t="s">
        <v>5831</v>
      </c>
      <c r="R512" s="93">
        <v>207642.22201140001</v>
      </c>
      <c r="T512" s="19" t="s">
        <v>6674</v>
      </c>
      <c r="U512" s="19">
        <v>172</v>
      </c>
      <c r="V512" s="115">
        <v>2529.2810939999999</v>
      </c>
      <c r="W512" s="115">
        <f t="shared" si="96"/>
        <v>435036.348168</v>
      </c>
      <c r="X512" s="263" t="s">
        <v>5111</v>
      </c>
      <c r="Z512" t="s">
        <v>25</v>
      </c>
    </row>
    <row r="513" spans="15:27">
      <c r="Q513" s="97" t="s">
        <v>5831</v>
      </c>
      <c r="R513" s="93">
        <v>33832510.64875</v>
      </c>
      <c r="T513" s="19"/>
      <c r="U513" s="19">
        <v>0</v>
      </c>
      <c r="V513" s="115"/>
      <c r="W513" s="115">
        <f>U513*V513</f>
        <v>0</v>
      </c>
      <c r="X513" s="263"/>
      <c r="AA513" t="s">
        <v>25</v>
      </c>
    </row>
    <row r="514" spans="15:27">
      <c r="P514" t="s">
        <v>25</v>
      </c>
      <c r="Q514" s="97" t="s">
        <v>5846</v>
      </c>
      <c r="R514" s="93">
        <v>637977.33504399995</v>
      </c>
      <c r="T514" s="19"/>
      <c r="U514" s="19"/>
      <c r="V514" s="115"/>
      <c r="W514" s="115">
        <f t="shared" si="96"/>
        <v>0</v>
      </c>
      <c r="X514" s="263"/>
    </row>
    <row r="515" spans="15:27">
      <c r="Q515" s="97" t="s">
        <v>5847</v>
      </c>
      <c r="R515" s="93">
        <v>466552.25632400002</v>
      </c>
      <c r="T515" s="19"/>
      <c r="U515" s="19"/>
      <c r="V515" s="115"/>
      <c r="W515" s="115">
        <f t="shared" si="96"/>
        <v>0</v>
      </c>
      <c r="X515" s="263"/>
    </row>
    <row r="516" spans="15:27">
      <c r="Q516" s="97" t="s">
        <v>5848</v>
      </c>
      <c r="R516" s="93">
        <v>149316.98805000001</v>
      </c>
      <c r="T516" s="19"/>
      <c r="U516" s="19"/>
      <c r="V516" s="115"/>
      <c r="W516" s="115">
        <f t="shared" si="96"/>
        <v>0</v>
      </c>
      <c r="X516" s="263"/>
    </row>
    <row r="517" spans="15:27">
      <c r="Q517" s="97" t="s">
        <v>5848</v>
      </c>
      <c r="R517" s="93">
        <v>189134.85153000001</v>
      </c>
      <c r="T517" s="19"/>
      <c r="U517" s="19"/>
      <c r="V517" s="115"/>
      <c r="W517" s="115">
        <f t="shared" si="96"/>
        <v>0</v>
      </c>
      <c r="X517" s="263"/>
    </row>
    <row r="518" spans="15:27">
      <c r="Q518" s="97" t="s">
        <v>5852</v>
      </c>
      <c r="R518" s="93">
        <v>564888.82799599995</v>
      </c>
      <c r="T518" s="19"/>
      <c r="U518" s="19"/>
      <c r="V518" s="115"/>
      <c r="W518" s="115">
        <f t="shared" si="96"/>
        <v>0</v>
      </c>
      <c r="X518" s="263"/>
    </row>
    <row r="519" spans="15:27">
      <c r="Q519" s="97" t="s">
        <v>5858</v>
      </c>
      <c r="R519" s="93">
        <v>8762299.2047910001</v>
      </c>
      <c r="T519" s="97"/>
      <c r="U519" s="166"/>
      <c r="V519" s="111"/>
      <c r="W519" s="115">
        <f t="shared" si="96"/>
        <v>0</v>
      </c>
      <c r="X519" s="97"/>
      <c r="AA519" t="s">
        <v>25</v>
      </c>
    </row>
    <row r="520" spans="15:27">
      <c r="Q520" s="97" t="s">
        <v>5858</v>
      </c>
      <c r="R520" s="93">
        <v>-341847876.93843603</v>
      </c>
      <c r="T520" s="166"/>
      <c r="U520" s="166">
        <f>SUM(U179:U519)</f>
        <v>4308244</v>
      </c>
      <c r="V520" s="97"/>
      <c r="W520" s="97"/>
      <c r="X520" s="97"/>
    </row>
    <row r="521" spans="15:27">
      <c r="Q521" s="97" t="s">
        <v>5891</v>
      </c>
      <c r="R521" s="93">
        <v>259993.58394100002</v>
      </c>
      <c r="T521" s="97"/>
      <c r="U521" s="97" t="s">
        <v>6</v>
      </c>
      <c r="V521" s="97"/>
      <c r="W521" s="97"/>
      <c r="X521" s="97"/>
      <c r="Y521" t="s">
        <v>25</v>
      </c>
    </row>
    <row r="522" spans="15:27">
      <c r="Q522" s="97" t="s">
        <v>5893</v>
      </c>
      <c r="R522" s="93">
        <v>269955.31205999997</v>
      </c>
      <c r="T522" s="197" t="s">
        <v>4438</v>
      </c>
      <c r="Z522">
        <v>21769</v>
      </c>
    </row>
    <row r="523" spans="15:27">
      <c r="Q523" s="97" t="s">
        <v>6435</v>
      </c>
      <c r="R523" s="93">
        <v>560534.38387200003</v>
      </c>
      <c r="T523" s="196">
        <f>R195/U520</f>
        <v>2575.6176228644431</v>
      </c>
      <c r="X523" t="s">
        <v>25</v>
      </c>
    </row>
    <row r="524" spans="15:27">
      <c r="Q524" s="97" t="s">
        <v>6441</v>
      </c>
      <c r="R524" s="93">
        <v>581484.96802499995</v>
      </c>
      <c r="W524" s="112"/>
      <c r="X524">
        <v>26601</v>
      </c>
    </row>
    <row r="525" spans="15:27">
      <c r="O525" s="112"/>
      <c r="Q525" s="97" t="s">
        <v>6444</v>
      </c>
      <c r="R525" s="93">
        <v>2136964.3409779998</v>
      </c>
      <c r="U525" s="94" t="s">
        <v>267</v>
      </c>
      <c r="V525" t="s">
        <v>4439</v>
      </c>
      <c r="X525" t="s">
        <v>25</v>
      </c>
    </row>
    <row r="526" spans="15:27">
      <c r="Q526" s="97" t="s">
        <v>6448</v>
      </c>
      <c r="R526" s="93">
        <v>593783.22629999998</v>
      </c>
      <c r="T526" s="112"/>
      <c r="U526" s="93">
        <v>-435038</v>
      </c>
      <c r="V526">
        <f>U526/T523</f>
        <v>-168.90628334658527</v>
      </c>
      <c r="X526" t="s">
        <v>25</v>
      </c>
    </row>
    <row r="527" spans="15:27">
      <c r="Q527" s="97" t="s">
        <v>6452</v>
      </c>
      <c r="R527" s="93">
        <v>469469.96222000004</v>
      </c>
      <c r="T527" t="s">
        <v>25</v>
      </c>
      <c r="X527" t="s">
        <v>25</v>
      </c>
    </row>
    <row r="528" spans="15:27">
      <c r="Q528" s="97" t="s">
        <v>6500</v>
      </c>
      <c r="R528" s="93">
        <v>73977944.489465997</v>
      </c>
      <c r="T528" t="s">
        <v>25</v>
      </c>
      <c r="U528" s="94" t="s">
        <v>25</v>
      </c>
      <c r="V528" s="22"/>
      <c r="W528" s="214"/>
      <c r="X528" s="272" t="s">
        <v>25</v>
      </c>
    </row>
    <row r="529" spans="17:24">
      <c r="Q529" s="97" t="s">
        <v>6505</v>
      </c>
      <c r="R529" s="93">
        <v>570166.40976800001</v>
      </c>
      <c r="V529" t="s">
        <v>25</v>
      </c>
      <c r="X529" t="s">
        <v>25</v>
      </c>
    </row>
    <row r="530" spans="17:24">
      <c r="Q530" s="97" t="s">
        <v>6509</v>
      </c>
      <c r="R530" s="93">
        <v>3585319.2317280001</v>
      </c>
      <c r="W530" s="112"/>
      <c r="X530" t="s">
        <v>25</v>
      </c>
    </row>
    <row r="531" spans="17:24" ht="60">
      <c r="Q531" s="97" t="s">
        <v>6512</v>
      </c>
      <c r="R531" s="93">
        <v>676700.69889600005</v>
      </c>
      <c r="T531" s="22" t="s">
        <v>4424</v>
      </c>
      <c r="V531" s="214"/>
    </row>
    <row r="532" spans="17:24" ht="45">
      <c r="Q532" s="97" t="s">
        <v>6522</v>
      </c>
      <c r="R532" s="93">
        <v>1105777.5430340001</v>
      </c>
      <c r="T532" s="22" t="s">
        <v>4425</v>
      </c>
      <c r="W532" s="272"/>
    </row>
    <row r="533" spans="17:24">
      <c r="Q533" s="97" t="s">
        <v>6526</v>
      </c>
      <c r="R533" s="93">
        <v>2315234.8602510002</v>
      </c>
    </row>
    <row r="534" spans="17:24">
      <c r="Q534" s="97" t="s">
        <v>6528</v>
      </c>
      <c r="R534" s="93">
        <v>4136360.6541840001</v>
      </c>
    </row>
    <row r="535" spans="17:24">
      <c r="Q535" s="97" t="s">
        <v>6531</v>
      </c>
      <c r="R535" s="93">
        <v>3035714.4702960001</v>
      </c>
      <c r="T535" s="97" t="s">
        <v>4440</v>
      </c>
      <c r="U535" s="97" t="s">
        <v>4419</v>
      </c>
      <c r="V535" s="97" t="s">
        <v>938</v>
      </c>
      <c r="W535" s="72" t="s">
        <v>5543</v>
      </c>
    </row>
    <row r="536" spans="17:24">
      <c r="Q536" s="97" t="s">
        <v>6542</v>
      </c>
      <c r="R536" s="93">
        <v>-179906186.46823201</v>
      </c>
      <c r="T536" s="93">
        <f>S245+R313+R555</f>
        <v>2372229781.403511</v>
      </c>
      <c r="U536" s="93">
        <f>R195</f>
        <v>11096389170</v>
      </c>
      <c r="V536" s="93">
        <f>U536-T536</f>
        <v>8724159388.596489</v>
      </c>
    </row>
    <row r="537" spans="17:24">
      <c r="Q537" s="97" t="s">
        <v>6548</v>
      </c>
      <c r="R537" s="93">
        <v>345069.28943499998</v>
      </c>
      <c r="W537" s="94" t="s">
        <v>25</v>
      </c>
    </row>
    <row r="538" spans="17:24">
      <c r="Q538" s="97" t="s">
        <v>6643</v>
      </c>
      <c r="R538" s="93">
        <v>567785.37859199999</v>
      </c>
    </row>
    <row r="539" spans="17:24">
      <c r="Q539" s="97" t="s">
        <v>6660</v>
      </c>
      <c r="R539" s="93">
        <v>189683.91675</v>
      </c>
      <c r="T539" s="115"/>
      <c r="V539" s="112">
        <f>(444000000+2500000)*2/3</f>
        <v>297666666.66666669</v>
      </c>
    </row>
    <row r="540" spans="17:24">
      <c r="Q540" s="97" t="s">
        <v>6662</v>
      </c>
      <c r="R540" s="93">
        <v>10000000</v>
      </c>
    </row>
    <row r="541" spans="17:24">
      <c r="Q541" s="97" t="s">
        <v>6662</v>
      </c>
      <c r="R541" s="93">
        <v>519135.75707200001</v>
      </c>
      <c r="T541" s="112">
        <f>W325+W326+W328+W329+W331+W332</f>
        <v>-301699041.74755996</v>
      </c>
    </row>
    <row r="542" spans="17:24">
      <c r="Q542" s="97" t="s">
        <v>6671</v>
      </c>
      <c r="R542" s="93">
        <v>3406413.9029760002</v>
      </c>
      <c r="T542" t="s">
        <v>25</v>
      </c>
    </row>
    <row r="543" spans="17:24">
      <c r="Q543" s="97" t="s">
        <v>6674</v>
      </c>
      <c r="R543" s="93">
        <v>435036.348168</v>
      </c>
      <c r="T543" s="112">
        <f>V539+T541</f>
        <v>-4032375.0808932781</v>
      </c>
    </row>
    <row r="544" spans="17:24">
      <c r="Q544" s="97"/>
      <c r="R544" s="93"/>
      <c r="T544" t="s">
        <v>25</v>
      </c>
    </row>
    <row r="545" spans="17:24">
      <c r="Q545" s="97"/>
      <c r="R545" s="93"/>
      <c r="T545" t="s">
        <v>25</v>
      </c>
      <c r="X545" s="112">
        <f>V553+V555</f>
        <v>22521440</v>
      </c>
    </row>
    <row r="546" spans="17:24">
      <c r="Q546" s="97"/>
      <c r="R546" s="93"/>
      <c r="W546" s="94" t="s">
        <v>25</v>
      </c>
    </row>
    <row r="547" spans="17:24">
      <c r="Q547" s="97"/>
      <c r="R547" s="93"/>
    </row>
    <row r="548" spans="17:24">
      <c r="Q548" s="97"/>
      <c r="R548" s="93"/>
      <c r="T548" t="s">
        <v>25</v>
      </c>
    </row>
    <row r="549" spans="17:24">
      <c r="Q549" s="97"/>
      <c r="R549" s="93"/>
      <c r="T549" s="97" t="s">
        <v>4737</v>
      </c>
      <c r="U549" s="97"/>
      <c r="V549" s="97"/>
    </row>
    <row r="550" spans="17:24">
      <c r="Q550" s="97"/>
      <c r="R550" s="93"/>
      <c r="T550" s="97" t="s">
        <v>452</v>
      </c>
      <c r="U550" s="97">
        <v>4217700</v>
      </c>
      <c r="V550" s="35">
        <f>U550*80</f>
        <v>337416000</v>
      </c>
      <c r="W550" s="94" t="s">
        <v>25</v>
      </c>
    </row>
    <row r="551" spans="17:24">
      <c r="Q551" s="97"/>
      <c r="R551" s="93"/>
      <c r="T551" s="97" t="s">
        <v>5860</v>
      </c>
      <c r="U551" s="97">
        <v>2527652</v>
      </c>
      <c r="V551" s="49">
        <f>U551*80-50000000</f>
        <v>152212160</v>
      </c>
      <c r="X551" t="s">
        <v>25</v>
      </c>
    </row>
    <row r="552" spans="17:24">
      <c r="Q552" s="97"/>
      <c r="R552" s="93"/>
      <c r="T552" s="97" t="s">
        <v>5843</v>
      </c>
      <c r="U552" s="97">
        <v>47381</v>
      </c>
      <c r="V552" s="35">
        <f t="shared" ref="V552" si="117">U552*80</f>
        <v>3790480</v>
      </c>
    </row>
    <row r="553" spans="17:24">
      <c r="Q553" s="97" t="s">
        <v>25</v>
      </c>
      <c r="R553" s="93"/>
      <c r="T553" s="97" t="s">
        <v>1071</v>
      </c>
      <c r="U553" s="97">
        <v>226303</v>
      </c>
      <c r="V553" s="186">
        <f>U553*80</f>
        <v>18104240</v>
      </c>
    </row>
    <row r="554" spans="17:24">
      <c r="Q554" s="97" t="s">
        <v>25</v>
      </c>
      <c r="R554" s="97" t="s">
        <v>25</v>
      </c>
      <c r="T554" s="97" t="s">
        <v>5842</v>
      </c>
      <c r="U554" s="97">
        <v>8020</v>
      </c>
      <c r="V554" s="35">
        <f>U554*80</f>
        <v>641600</v>
      </c>
    </row>
    <row r="555" spans="17:24">
      <c r="Q555" s="97"/>
      <c r="R555" s="93">
        <f>SUM(R318:R554)</f>
        <v>2059530201.838248</v>
      </c>
      <c r="T555" s="97" t="s">
        <v>5838</v>
      </c>
      <c r="U555" s="97">
        <v>55215</v>
      </c>
      <c r="V555" s="186">
        <f>U555*80</f>
        <v>4417200</v>
      </c>
    </row>
    <row r="556" spans="17:24">
      <c r="R556" s="97" t="s">
        <v>6</v>
      </c>
      <c r="T556" s="97" t="s">
        <v>5839</v>
      </c>
      <c r="U556" s="97">
        <v>26770</v>
      </c>
      <c r="V556" s="49">
        <f>U556*80</f>
        <v>2141600</v>
      </c>
    </row>
    <row r="558" spans="17:24">
      <c r="Q558" t="s">
        <v>25</v>
      </c>
    </row>
    <row r="559" spans="17:24">
      <c r="Q559" t="s">
        <v>25</v>
      </c>
    </row>
    <row r="560" spans="17:24">
      <c r="Q560" t="s">
        <v>25</v>
      </c>
      <c r="R560" t="s">
        <v>25</v>
      </c>
      <c r="X560" t="s">
        <v>25</v>
      </c>
    </row>
    <row r="561" spans="17:23">
      <c r="Q561" t="s">
        <v>25</v>
      </c>
      <c r="R561" t="s">
        <v>25</v>
      </c>
      <c r="T561" s="97" t="s">
        <v>5525</v>
      </c>
      <c r="U561" s="97">
        <v>139096</v>
      </c>
      <c r="V561" s="167">
        <f>U561*80</f>
        <v>11127680</v>
      </c>
    </row>
    <row r="562" spans="17:23">
      <c r="Q562" s="112"/>
      <c r="R562" t="s">
        <v>25</v>
      </c>
      <c r="T562" s="97"/>
      <c r="U562" s="97"/>
      <c r="V562" s="167"/>
    </row>
    <row r="563" spans="17:23">
      <c r="T563" s="97"/>
      <c r="U563" s="97"/>
      <c r="V563" s="167"/>
    </row>
    <row r="564" spans="17:23">
      <c r="R564" t="s">
        <v>25</v>
      </c>
    </row>
    <row r="565" spans="17:23">
      <c r="Q565" t="s">
        <v>25</v>
      </c>
      <c r="T565" s="94"/>
      <c r="V565" s="94"/>
    </row>
    <row r="566" spans="17:23">
      <c r="T566" s="94"/>
      <c r="V566" s="94"/>
      <c r="W566" s="112"/>
    </row>
    <row r="567" spans="17:23">
      <c r="T567" s="94"/>
      <c r="V567" s="94"/>
    </row>
    <row r="568" spans="17:23">
      <c r="T568" s="94"/>
      <c r="V568" s="94"/>
    </row>
    <row r="570" spans="17:23">
      <c r="U57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43 S145 S147"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7"/>
  <sheetViews>
    <sheetView zoomScale="80" zoomScaleNormal="80" workbookViewId="0">
      <selection activeCell="Q19" sqref="Q19"/>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3" t="s">
        <v>5735</v>
      </c>
      <c r="B1" s="273" t="s">
        <v>4361</v>
      </c>
      <c r="C1" s="274">
        <v>16940</v>
      </c>
      <c r="D1" s="273">
        <v>3336</v>
      </c>
      <c r="E1" s="60" t="s">
        <v>4357</v>
      </c>
      <c r="F1" s="49">
        <v>13604</v>
      </c>
      <c r="G1" s="60">
        <f t="shared" ref="G1:G34" si="0">C1*D1*0.99114/(F1*1.0037158)</f>
        <v>4102.0133326251707</v>
      </c>
      <c r="H1" s="204">
        <f t="shared" ref="H1:H33" si="1">C1/F1</f>
        <v>1.2452219935313142</v>
      </c>
      <c r="I1" s="289">
        <f>$R$5/$R$4</f>
        <v>1.2845622119815667</v>
      </c>
      <c r="J1" s="20">
        <f t="shared" ref="J1:J33" si="2">I1/H1</f>
        <v>1.031592935761348</v>
      </c>
      <c r="K1" s="97">
        <f t="shared" ref="K1:K34" si="3">(1/J1-1.0256)*100</f>
        <v>-5.6225389789075546</v>
      </c>
      <c r="L1" s="20"/>
      <c r="M1" s="20"/>
      <c r="N1" s="20">
        <v>1</v>
      </c>
      <c r="Q1" s="67" t="s">
        <v>5890</v>
      </c>
      <c r="R1" s="311">
        <v>2705</v>
      </c>
      <c r="S1" s="94" t="s">
        <v>5844</v>
      </c>
      <c r="T1" s="94" t="s">
        <v>5845</v>
      </c>
      <c r="U1" s="94"/>
      <c r="V1" s="94"/>
      <c r="W1" s="94"/>
      <c r="X1" s="5" t="s">
        <v>6455</v>
      </c>
      <c r="Y1" s="5" t="s">
        <v>6456</v>
      </c>
      <c r="Z1" s="5" t="s">
        <v>267</v>
      </c>
      <c r="AA1" s="94"/>
      <c r="AB1" s="94"/>
      <c r="AC1" s="94"/>
    </row>
    <row r="2" spans="1:29" ht="21">
      <c r="A2" s="273" t="s">
        <v>5747</v>
      </c>
      <c r="B2" s="273" t="s">
        <v>4361</v>
      </c>
      <c r="C2" s="274">
        <v>19359</v>
      </c>
      <c r="D2" s="273">
        <v>3498</v>
      </c>
      <c r="E2" s="60" t="s">
        <v>4357</v>
      </c>
      <c r="F2" s="49">
        <v>14680</v>
      </c>
      <c r="G2" s="60">
        <f t="shared" si="0"/>
        <v>4555.1314303341615</v>
      </c>
      <c r="H2" s="204">
        <f t="shared" si="1"/>
        <v>1.3187329700272479</v>
      </c>
      <c r="I2" s="289">
        <f>$R$5/$R$4</f>
        <v>1.2845622119815667</v>
      </c>
      <c r="J2" s="20">
        <f t="shared" si="2"/>
        <v>0.97408819008675041</v>
      </c>
      <c r="K2" s="97">
        <f t="shared" si="3"/>
        <v>0.10010923620189516</v>
      </c>
      <c r="L2" s="20" t="s">
        <v>25</v>
      </c>
      <c r="M2" s="20"/>
      <c r="N2" s="20">
        <f>H2/H1</f>
        <v>1.059034434725542</v>
      </c>
      <c r="O2" s="367"/>
      <c r="P2" s="367"/>
      <c r="Q2" s="97" t="s">
        <v>4219</v>
      </c>
      <c r="R2" s="283">
        <v>1438</v>
      </c>
      <c r="S2" s="94">
        <v>80</v>
      </c>
      <c r="T2" s="112">
        <v>1099</v>
      </c>
      <c r="U2" s="94">
        <f>S2/T2</f>
        <v>7.2793448589626927E-2</v>
      </c>
      <c r="V2" s="94"/>
      <c r="W2" s="94"/>
      <c r="X2" s="5" t="s">
        <v>744</v>
      </c>
      <c r="Y2" s="5" t="s">
        <v>6457</v>
      </c>
      <c r="Z2" s="35">
        <v>50000000</v>
      </c>
      <c r="AA2" s="94"/>
      <c r="AB2" s="94"/>
      <c r="AC2" s="94"/>
    </row>
    <row r="3" spans="1:29" ht="21">
      <c r="A3" s="273" t="s">
        <v>5747</v>
      </c>
      <c r="B3" s="273" t="s">
        <v>4361</v>
      </c>
      <c r="C3" s="274">
        <v>19359</v>
      </c>
      <c r="D3" s="273">
        <v>3611</v>
      </c>
      <c r="E3" s="60" t="s">
        <v>4357</v>
      </c>
      <c r="F3" s="49">
        <v>14544</v>
      </c>
      <c r="G3" s="60">
        <f t="shared" si="0"/>
        <v>4746.2519139820852</v>
      </c>
      <c r="H3" s="204">
        <f t="shared" si="1"/>
        <v>1.3310643564356435</v>
      </c>
      <c r="I3" s="289">
        <f>$R$5/$R$4</f>
        <v>1.2845622119815667</v>
      </c>
      <c r="J3" s="20">
        <f t="shared" si="2"/>
        <v>0.96506393982436633</v>
      </c>
      <c r="K3" s="97">
        <f t="shared" si="3"/>
        <v>1.0600772543621906</v>
      </c>
      <c r="L3" s="20"/>
      <c r="M3" s="20"/>
      <c r="N3" s="20">
        <f>H3/H2</f>
        <v>1.0093509350935093</v>
      </c>
      <c r="O3" s="367"/>
      <c r="P3" s="367"/>
      <c r="Q3" s="97" t="s">
        <v>5275</v>
      </c>
      <c r="R3" s="296">
        <v>1525</v>
      </c>
      <c r="S3" s="113"/>
      <c r="T3" s="113"/>
      <c r="U3" s="113"/>
      <c r="V3" s="113"/>
      <c r="W3" s="113"/>
      <c r="X3" s="5" t="s">
        <v>452</v>
      </c>
      <c r="Y3" s="5" t="s">
        <v>6682</v>
      </c>
      <c r="Z3" s="35">
        <v>60000000</v>
      </c>
      <c r="AA3" s="113"/>
      <c r="AB3" s="113"/>
      <c r="AC3" s="113"/>
    </row>
    <row r="4" spans="1:29" ht="21">
      <c r="A4" s="273" t="s">
        <v>5747</v>
      </c>
      <c r="B4" s="273" t="s">
        <v>4361</v>
      </c>
      <c r="C4" s="274">
        <v>19360.400000000001</v>
      </c>
      <c r="D4" s="273">
        <v>32968</v>
      </c>
      <c r="E4" s="275" t="s">
        <v>4219</v>
      </c>
      <c r="F4" s="277">
        <v>1216</v>
      </c>
      <c r="G4" s="292">
        <f t="shared" si="0"/>
        <v>518319.556570485</v>
      </c>
      <c r="H4" s="293">
        <f t="shared" si="1"/>
        <v>15.92138157894737</v>
      </c>
      <c r="I4" s="280">
        <f>$R$5/$R$2</f>
        <v>15.507649513212796</v>
      </c>
      <c r="J4" s="97">
        <f t="shared" si="2"/>
        <v>0.97401406004352997</v>
      </c>
      <c r="K4" s="97">
        <f t="shared" si="3"/>
        <v>0.10792246872788347</v>
      </c>
      <c r="L4" s="97"/>
      <c r="M4" s="97"/>
      <c r="N4" s="281">
        <v>1</v>
      </c>
      <c r="O4" s="367"/>
      <c r="P4" s="113"/>
      <c r="Q4" s="97" t="s">
        <v>4357</v>
      </c>
      <c r="R4" s="295">
        <v>17360</v>
      </c>
      <c r="S4" s="113"/>
      <c r="T4" s="113"/>
      <c r="U4" s="113"/>
      <c r="AA4" s="113"/>
      <c r="AB4" s="113"/>
      <c r="AC4" s="113"/>
    </row>
    <row r="5" spans="1:29" ht="21">
      <c r="A5" s="273" t="s">
        <v>5750</v>
      </c>
      <c r="B5" s="273" t="s">
        <v>4361</v>
      </c>
      <c r="C5" s="274">
        <v>19361</v>
      </c>
      <c r="D5" s="273">
        <v>7994</v>
      </c>
      <c r="E5" s="275" t="s">
        <v>4219</v>
      </c>
      <c r="F5" s="277">
        <v>1198</v>
      </c>
      <c r="G5" s="292">
        <f t="shared" si="0"/>
        <v>127573.17191394574</v>
      </c>
      <c r="H5" s="293">
        <f t="shared" si="1"/>
        <v>16.161101836393989</v>
      </c>
      <c r="I5" s="280">
        <f>$R$5/$R$2</f>
        <v>15.507649513212796</v>
      </c>
      <c r="J5" s="97">
        <f t="shared" si="2"/>
        <v>0.95956635074784002</v>
      </c>
      <c r="K5" s="97">
        <f t="shared" si="3"/>
        <v>1.6537418867020426</v>
      </c>
      <c r="L5" s="97"/>
      <c r="M5" s="97"/>
      <c r="N5" s="281">
        <f>H5/H4</f>
        <v>1.0150564984739514</v>
      </c>
      <c r="O5" s="367"/>
      <c r="P5" s="113"/>
      <c r="Q5" s="97" t="s">
        <v>4361</v>
      </c>
      <c r="R5" s="282">
        <v>22300</v>
      </c>
      <c r="S5" s="113"/>
      <c r="T5" s="113"/>
      <c r="U5" s="113"/>
      <c r="AA5" s="113"/>
      <c r="AB5" s="113"/>
      <c r="AC5" s="113"/>
    </row>
    <row r="6" spans="1:29" ht="21">
      <c r="A6" s="273" t="s">
        <v>5751</v>
      </c>
      <c r="B6" s="273" t="s">
        <v>4361</v>
      </c>
      <c r="C6" s="274">
        <v>19361</v>
      </c>
      <c r="D6" s="273">
        <v>3244</v>
      </c>
      <c r="E6" s="275" t="s">
        <v>4219</v>
      </c>
      <c r="F6" s="277">
        <v>1188</v>
      </c>
      <c r="G6" s="292">
        <f t="shared" si="0"/>
        <v>52205.52081645729</v>
      </c>
      <c r="H6" s="293">
        <f t="shared" si="1"/>
        <v>16.297138047138048</v>
      </c>
      <c r="I6" s="280">
        <f>$R$5/$R$2</f>
        <v>15.507649513212796</v>
      </c>
      <c r="J6" s="97">
        <f t="shared" si="2"/>
        <v>0.95155661493191468</v>
      </c>
      <c r="K6" s="97">
        <f t="shared" si="3"/>
        <v>2.5309619362534175</v>
      </c>
      <c r="L6" s="97"/>
      <c r="M6" s="97"/>
      <c r="N6" s="281">
        <f>H6/H5</f>
        <v>1.0084175084175087</v>
      </c>
      <c r="O6" s="367"/>
      <c r="P6" s="113"/>
      <c r="Q6" s="97" t="s">
        <v>5823</v>
      </c>
      <c r="R6" s="361">
        <v>1445</v>
      </c>
      <c r="S6" s="113"/>
      <c r="T6" s="113"/>
      <c r="U6" s="113"/>
      <c r="X6" s="113"/>
      <c r="Y6" s="113"/>
      <c r="Z6" s="113"/>
      <c r="AA6" s="113"/>
      <c r="AB6" s="113"/>
      <c r="AC6" s="113"/>
    </row>
    <row r="7" spans="1:29" ht="21">
      <c r="A7" s="273" t="s">
        <v>5747</v>
      </c>
      <c r="B7" s="273" t="s">
        <v>4361</v>
      </c>
      <c r="C7" s="274">
        <v>19360.64</v>
      </c>
      <c r="D7" s="273">
        <v>20130</v>
      </c>
      <c r="E7" s="275" t="s">
        <v>4219</v>
      </c>
      <c r="F7" s="277">
        <v>1184</v>
      </c>
      <c r="G7" s="292">
        <f t="shared" si="0"/>
        <v>325039.41298070579</v>
      </c>
      <c r="H7" s="293">
        <f t="shared" si="1"/>
        <v>16.351891891891892</v>
      </c>
      <c r="I7" s="280">
        <f>$R$5/$R$2</f>
        <v>15.507649513212796</v>
      </c>
      <c r="J7" s="97">
        <f t="shared" si="2"/>
        <v>0.9483703546806278</v>
      </c>
      <c r="K7" s="97">
        <f t="shared" si="3"/>
        <v>2.8840382983880586</v>
      </c>
      <c r="L7" s="36"/>
      <c r="M7" s="97"/>
      <c r="N7" s="281">
        <f>H7/H6</f>
        <v>1.0033597214796532</v>
      </c>
      <c r="O7" s="367"/>
      <c r="P7" s="113"/>
      <c r="Q7" s="72" t="s">
        <v>1070</v>
      </c>
      <c r="R7" s="362">
        <v>11500000</v>
      </c>
      <c r="S7" s="113"/>
      <c r="T7" s="113"/>
      <c r="U7" s="113"/>
      <c r="V7" s="113"/>
      <c r="W7" s="113"/>
      <c r="X7" s="113"/>
      <c r="Y7" s="113"/>
      <c r="Z7" s="113"/>
      <c r="AA7" s="113"/>
      <c r="AB7" s="113"/>
      <c r="AC7" s="113"/>
    </row>
    <row r="8" spans="1:29" ht="19.5">
      <c r="A8" s="273" t="s">
        <v>5783</v>
      </c>
      <c r="B8" s="273" t="s">
        <v>4361</v>
      </c>
      <c r="C8" s="274">
        <v>15831</v>
      </c>
      <c r="D8" s="23">
        <v>99</v>
      </c>
      <c r="E8" s="275" t="s">
        <v>4219</v>
      </c>
      <c r="F8" s="277">
        <v>982</v>
      </c>
      <c r="G8" s="292">
        <f t="shared" si="0"/>
        <v>1576.0003101250306</v>
      </c>
      <c r="H8" s="293">
        <f t="shared" si="1"/>
        <v>16.121181262729124</v>
      </c>
      <c r="I8" s="280">
        <f t="shared" ref="I8" si="4">$R$5/$R$2</f>
        <v>15.507649513212796</v>
      </c>
      <c r="J8" s="97">
        <f t="shared" ref="J8" si="5">I8/H8</f>
        <v>0.9619425065993914</v>
      </c>
      <c r="K8" s="97">
        <f t="shared" ref="K8" si="6">(1/J8-1.0256)*100</f>
        <v>1.3963168421725625</v>
      </c>
      <c r="L8" s="36"/>
      <c r="M8" s="97"/>
      <c r="N8" s="281">
        <f t="shared" ref="N8" si="7">H8/H7</f>
        <v>0.98589089074902903</v>
      </c>
      <c r="P8" s="113"/>
      <c r="Q8" s="94"/>
      <c r="R8" s="94"/>
      <c r="S8" s="113"/>
      <c r="T8" s="113"/>
      <c r="U8" s="113"/>
      <c r="V8" s="113"/>
      <c r="W8" s="113"/>
      <c r="Y8" t="s">
        <v>25</v>
      </c>
      <c r="AA8" s="113"/>
      <c r="AB8" s="113"/>
      <c r="AC8" s="113"/>
    </row>
    <row r="9" spans="1:29">
      <c r="A9" s="60" t="s">
        <v>5787</v>
      </c>
      <c r="B9" s="60" t="s">
        <v>4357</v>
      </c>
      <c r="C9" s="49">
        <v>11988</v>
      </c>
      <c r="D9" s="60">
        <v>667</v>
      </c>
      <c r="E9" s="275" t="s">
        <v>4219</v>
      </c>
      <c r="F9" s="277">
        <v>1163</v>
      </c>
      <c r="G9" s="275">
        <f t="shared" si="0"/>
        <v>6789.1764543476174</v>
      </c>
      <c r="H9" s="276">
        <f t="shared" si="1"/>
        <v>10.307824591573517</v>
      </c>
      <c r="I9" s="280">
        <f t="shared" ref="I9:I22" si="8">$R$4/$R$2</f>
        <v>12.072322670375522</v>
      </c>
      <c r="J9" s="20">
        <f>I9/H9</f>
        <v>1.1711804525898175</v>
      </c>
      <c r="K9" s="20">
        <f>(1/J9-1.0256)*100</f>
        <v>-17.176061274869149</v>
      </c>
      <c r="L9" s="20"/>
      <c r="M9" s="20"/>
      <c r="N9" s="20">
        <v>1</v>
      </c>
      <c r="P9" s="113"/>
      <c r="Q9" s="370"/>
      <c r="R9" s="370"/>
      <c r="S9" s="113"/>
      <c r="T9" s="113"/>
    </row>
    <row r="10" spans="1:29">
      <c r="A10" s="60" t="s">
        <v>5789</v>
      </c>
      <c r="B10" s="60" t="s">
        <v>4357</v>
      </c>
      <c r="C10" s="49">
        <v>11872</v>
      </c>
      <c r="D10" s="60">
        <v>1116</v>
      </c>
      <c r="E10" s="275" t="s">
        <v>4219</v>
      </c>
      <c r="F10" s="277">
        <v>1142</v>
      </c>
      <c r="G10" s="275">
        <f t="shared" si="0"/>
        <v>11456.348637456234</v>
      </c>
      <c r="H10" s="276">
        <f t="shared" si="1"/>
        <v>10.395796847635728</v>
      </c>
      <c r="I10" s="280">
        <f t="shared" si="8"/>
        <v>12.072322670375522</v>
      </c>
      <c r="J10" s="20">
        <f t="shared" si="2"/>
        <v>1.1612695830162436</v>
      </c>
      <c r="K10" s="20">
        <f t="shared" si="3"/>
        <v>-16.447350997118804</v>
      </c>
      <c r="L10" s="20"/>
      <c r="M10" s="20"/>
      <c r="N10" s="20">
        <f t="shared" ref="N10:N18" si="9">H10/H9</f>
        <v>1.0085345123290248</v>
      </c>
      <c r="O10" s="367"/>
      <c r="P10" t="s">
        <v>25</v>
      </c>
      <c r="Q10" s="113"/>
      <c r="R10" s="113"/>
    </row>
    <row r="11" spans="1:29">
      <c r="A11" s="60" t="s">
        <v>5790</v>
      </c>
      <c r="B11" s="60" t="s">
        <v>4357</v>
      </c>
      <c r="C11" s="49">
        <v>11872</v>
      </c>
      <c r="D11" s="60">
        <v>1116</v>
      </c>
      <c r="E11" s="275" t="s">
        <v>4219</v>
      </c>
      <c r="F11" s="277">
        <v>1131</v>
      </c>
      <c r="G11" s="275">
        <f t="shared" si="0"/>
        <v>11567.772010587991</v>
      </c>
      <c r="H11" s="276">
        <f t="shared" si="1"/>
        <v>10.496905393457117</v>
      </c>
      <c r="I11" s="280">
        <f t="shared" si="8"/>
        <v>12.072322670375522</v>
      </c>
      <c r="J11" s="20">
        <f t="shared" si="2"/>
        <v>1.1500839740730051</v>
      </c>
      <c r="K11" s="20">
        <f t="shared" si="3"/>
        <v>-15.609827443598324</v>
      </c>
      <c r="L11" s="20"/>
      <c r="M11" s="20"/>
      <c r="N11" s="20">
        <f t="shared" si="9"/>
        <v>1.0097259062776303</v>
      </c>
      <c r="O11" s="367"/>
      <c r="Q11" s="97">
        <v>7042</v>
      </c>
      <c r="R11" s="97">
        <v>13487</v>
      </c>
    </row>
    <row r="12" spans="1:29">
      <c r="A12" s="60" t="s">
        <v>5792</v>
      </c>
      <c r="B12" s="60" t="s">
        <v>4357</v>
      </c>
      <c r="C12" s="49">
        <v>11380</v>
      </c>
      <c r="D12" s="60">
        <v>1116</v>
      </c>
      <c r="E12" s="275" t="s">
        <v>4219</v>
      </c>
      <c r="F12" s="277">
        <v>1070</v>
      </c>
      <c r="G12" s="275">
        <f t="shared" si="0"/>
        <v>11720.521122379818</v>
      </c>
      <c r="H12" s="276">
        <f t="shared" si="1"/>
        <v>10.635514018691589</v>
      </c>
      <c r="I12" s="280">
        <f t="shared" si="8"/>
        <v>12.072322670375522</v>
      </c>
      <c r="J12" s="20">
        <f t="shared" si="2"/>
        <v>1.1350953653165032</v>
      </c>
      <c r="K12" s="20">
        <f t="shared" si="3"/>
        <v>-14.461675352082349</v>
      </c>
      <c r="L12" s="20"/>
      <c r="M12" s="20"/>
      <c r="N12" s="20">
        <f t="shared" si="9"/>
        <v>1.013204713202509</v>
      </c>
      <c r="Q12" s="97">
        <f>Q11*R12/R11</f>
        <v>5571.6750945354788</v>
      </c>
      <c r="R12" s="97">
        <v>10671</v>
      </c>
      <c r="S12" s="113"/>
      <c r="X12" t="s">
        <v>25</v>
      </c>
    </row>
    <row r="13" spans="1:29">
      <c r="A13" s="297" t="s">
        <v>5792</v>
      </c>
      <c r="B13" s="60" t="s">
        <v>4357</v>
      </c>
      <c r="C13" s="49">
        <v>11425</v>
      </c>
      <c r="D13" s="60">
        <v>1116</v>
      </c>
      <c r="E13" s="275" t="s">
        <v>4219</v>
      </c>
      <c r="F13" s="277">
        <v>1083</v>
      </c>
      <c r="G13" s="275">
        <f t="shared" si="0"/>
        <v>11625.62177499628</v>
      </c>
      <c r="H13" s="276">
        <f t="shared" si="1"/>
        <v>10.549399815327794</v>
      </c>
      <c r="I13" s="280">
        <f t="shared" si="8"/>
        <v>12.072322670375522</v>
      </c>
      <c r="J13" s="20">
        <f t="shared" si="2"/>
        <v>1.1443610898920515</v>
      </c>
      <c r="K13" s="20">
        <f t="shared" si="3"/>
        <v>-15.17499461727323</v>
      </c>
      <c r="L13" s="20"/>
      <c r="M13" s="20" t="s">
        <v>25</v>
      </c>
      <c r="N13" s="20">
        <f t="shared" si="9"/>
        <v>0.99190314608090857</v>
      </c>
      <c r="Q13" s="97">
        <f>Q11-Q12</f>
        <v>1470.3249054645212</v>
      </c>
      <c r="R13" s="97">
        <f>R11-R12</f>
        <v>2816</v>
      </c>
      <c r="S13" s="113"/>
      <c r="U13" t="s">
        <v>25</v>
      </c>
    </row>
    <row r="14" spans="1:29">
      <c r="A14" s="297" t="s">
        <v>5793</v>
      </c>
      <c r="B14" s="60" t="s">
        <v>4357</v>
      </c>
      <c r="C14" s="49">
        <v>11446</v>
      </c>
      <c r="D14" s="60">
        <v>1763</v>
      </c>
      <c r="E14" s="275" t="s">
        <v>4219</v>
      </c>
      <c r="F14" s="277">
        <v>1058</v>
      </c>
      <c r="G14" s="275">
        <f t="shared" si="0"/>
        <v>18834.089465901357</v>
      </c>
      <c r="H14" s="276">
        <f t="shared" si="1"/>
        <v>10.818525519848771</v>
      </c>
      <c r="I14" s="280">
        <f t="shared" si="8"/>
        <v>12.072322670375522</v>
      </c>
      <c r="J14" s="20">
        <f t="shared" si="2"/>
        <v>1.1158935335713176</v>
      </c>
      <c r="K14" s="20">
        <f t="shared" si="3"/>
        <v>-12.945716027980803</v>
      </c>
      <c r="L14" s="20"/>
      <c r="M14" s="20"/>
      <c r="N14" s="20">
        <f t="shared" si="9"/>
        <v>1.0255109967611571</v>
      </c>
      <c r="P14" s="94"/>
      <c r="S14" s="113"/>
    </row>
    <row r="15" spans="1:29">
      <c r="A15" s="297" t="s">
        <v>5800</v>
      </c>
      <c r="B15" s="60" t="s">
        <v>4357</v>
      </c>
      <c r="C15" s="49">
        <v>11450</v>
      </c>
      <c r="D15" s="60">
        <v>1058</v>
      </c>
      <c r="E15" s="275" t="s">
        <v>4219</v>
      </c>
      <c r="F15" s="277">
        <v>1038</v>
      </c>
      <c r="G15" s="275">
        <f t="shared" si="0"/>
        <v>11524.392569604317</v>
      </c>
      <c r="H15" s="276">
        <f t="shared" si="1"/>
        <v>11.03082851637765</v>
      </c>
      <c r="I15" s="280">
        <f t="shared" si="8"/>
        <v>12.072322670375522</v>
      </c>
      <c r="J15" s="20">
        <f t="shared" si="2"/>
        <v>1.0944166752707241</v>
      </c>
      <c r="K15" s="20">
        <f t="shared" si="3"/>
        <v>-11.187123234152885</v>
      </c>
      <c r="L15" s="20"/>
      <c r="M15" s="20"/>
      <c r="N15" s="20">
        <f t="shared" si="9"/>
        <v>1.019624023268177</v>
      </c>
    </row>
    <row r="16" spans="1:29">
      <c r="A16" s="297" t="s">
        <v>5804</v>
      </c>
      <c r="B16" s="60" t="s">
        <v>4357</v>
      </c>
      <c r="C16" s="49">
        <v>11455</v>
      </c>
      <c r="D16" s="60">
        <v>1839</v>
      </c>
      <c r="E16" s="275" t="s">
        <v>4219</v>
      </c>
      <c r="F16" s="277">
        <v>1019</v>
      </c>
      <c r="G16" s="275">
        <f t="shared" si="0"/>
        <v>20413.942241720473</v>
      </c>
      <c r="H16" s="276">
        <f t="shared" si="1"/>
        <v>11.241413150147203</v>
      </c>
      <c r="I16" s="280">
        <f t="shared" si="8"/>
        <v>12.072322670375522</v>
      </c>
      <c r="J16" s="20">
        <f t="shared" si="2"/>
        <v>1.0739150415637413</v>
      </c>
      <c r="K16" s="20">
        <f t="shared" si="3"/>
        <v>-9.4427643438267488</v>
      </c>
      <c r="L16" s="20"/>
      <c r="M16" s="20"/>
      <c r="N16" s="20">
        <f t="shared" si="9"/>
        <v>1.0190905545722966</v>
      </c>
      <c r="U16" t="s">
        <v>25</v>
      </c>
    </row>
    <row r="17" spans="1:26">
      <c r="A17" s="297" t="s">
        <v>5804</v>
      </c>
      <c r="B17" s="60" t="s">
        <v>4357</v>
      </c>
      <c r="C17" s="49">
        <v>11565</v>
      </c>
      <c r="D17" s="60">
        <v>3348</v>
      </c>
      <c r="E17" s="275" t="s">
        <v>4219</v>
      </c>
      <c r="F17" s="277">
        <v>1021</v>
      </c>
      <c r="G17" s="275">
        <f t="shared" si="0"/>
        <v>37448.082703028624</v>
      </c>
      <c r="H17" s="276">
        <f t="shared" si="1"/>
        <v>11.327130264446621</v>
      </c>
      <c r="I17" s="280">
        <f t="shared" si="8"/>
        <v>12.072322670375522</v>
      </c>
      <c r="J17" s="20">
        <f t="shared" si="2"/>
        <v>1.0657882789842981</v>
      </c>
      <c r="K17" s="20">
        <f t="shared" si="3"/>
        <v>-8.7327343302175073</v>
      </c>
      <c r="L17" s="20"/>
      <c r="M17" s="20"/>
      <c r="N17" s="20">
        <f t="shared" si="9"/>
        <v>1.0076251191157668</v>
      </c>
      <c r="P17" t="s">
        <v>934</v>
      </c>
      <c r="Q17" s="97">
        <v>1426</v>
      </c>
      <c r="R17" s="97">
        <f>Q17/0.99114</f>
        <v>1438.7473010876365</v>
      </c>
    </row>
    <row r="18" spans="1:26">
      <c r="A18" s="297" t="s">
        <v>5425</v>
      </c>
      <c r="B18" s="60" t="s">
        <v>4357</v>
      </c>
      <c r="C18" s="49">
        <v>11401</v>
      </c>
      <c r="D18" s="60">
        <v>195</v>
      </c>
      <c r="E18" s="275" t="s">
        <v>4219</v>
      </c>
      <c r="F18" s="277">
        <v>988</v>
      </c>
      <c r="G18" s="275">
        <f t="shared" si="0"/>
        <v>2222.0040969135312</v>
      </c>
      <c r="H18" s="276">
        <f t="shared" si="1"/>
        <v>11.539473684210526</v>
      </c>
      <c r="I18" s="280">
        <f t="shared" si="8"/>
        <v>12.072322670375522</v>
      </c>
      <c r="J18" s="20">
        <f>I18/H18</f>
        <v>1.0461761949242185</v>
      </c>
      <c r="K18" s="20">
        <f t="shared" si="3"/>
        <v>-6.9738066941547494</v>
      </c>
      <c r="L18" s="20"/>
      <c r="M18" s="20"/>
      <c r="N18" s="20">
        <f t="shared" si="9"/>
        <v>1.0187464445809724</v>
      </c>
      <c r="P18" t="s">
        <v>61</v>
      </c>
      <c r="Q18" s="97">
        <v>14582</v>
      </c>
      <c r="R18" s="97">
        <f>Q18/1.0037158</f>
        <v>14528.016795192425</v>
      </c>
    </row>
    <row r="19" spans="1:26">
      <c r="A19" s="297" t="s">
        <v>5846</v>
      </c>
      <c r="B19" s="60" t="s">
        <v>4357</v>
      </c>
      <c r="C19" s="49">
        <v>14504</v>
      </c>
      <c r="D19" s="60">
        <v>6127</v>
      </c>
      <c r="E19" s="275" t="s">
        <v>4219</v>
      </c>
      <c r="F19" s="277">
        <v>1179.0999999999999</v>
      </c>
      <c r="G19" s="275">
        <f t="shared" si="0"/>
        <v>74423.360289252698</v>
      </c>
      <c r="H19" s="276">
        <f t="shared" si="1"/>
        <v>12.300907471800526</v>
      </c>
      <c r="I19" s="280">
        <f t="shared" si="8"/>
        <v>12.072322670375522</v>
      </c>
      <c r="J19" s="20">
        <f t="shared" si="2"/>
        <v>0.9814172408052797</v>
      </c>
      <c r="K19" s="20">
        <f t="shared" si="3"/>
        <v>-0.66653833842651444</v>
      </c>
      <c r="L19" s="20"/>
      <c r="M19" s="20"/>
      <c r="N19" s="20">
        <f>H19/H18</f>
        <v>1.065985140087617</v>
      </c>
      <c r="P19" t="s">
        <v>6658</v>
      </c>
      <c r="Q19" s="97">
        <v>1271.2</v>
      </c>
      <c r="R19" s="97">
        <f>Q19*0.99114/1.0037158</f>
        <v>1255.2728252359884</v>
      </c>
      <c r="U19" t="s">
        <v>25</v>
      </c>
    </row>
    <row r="20" spans="1:26">
      <c r="A20" s="297" t="s">
        <v>6513</v>
      </c>
      <c r="B20" s="60" t="s">
        <v>4357</v>
      </c>
      <c r="C20" s="49">
        <v>14171</v>
      </c>
      <c r="D20" s="60">
        <v>2105</v>
      </c>
      <c r="E20" s="275" t="s">
        <v>4219</v>
      </c>
      <c r="F20" s="277">
        <v>1155</v>
      </c>
      <c r="G20" s="275">
        <f t="shared" si="0"/>
        <v>25503.210580255756</v>
      </c>
      <c r="H20" s="276">
        <f t="shared" si="1"/>
        <v>12.26926406926407</v>
      </c>
      <c r="I20" s="280">
        <f t="shared" si="8"/>
        <v>12.072322670375522</v>
      </c>
      <c r="J20" s="20">
        <f>I20/H20</f>
        <v>0.98394839349966323</v>
      </c>
      <c r="K20" s="20">
        <f t="shared" ref="K20" si="10">(1/J20-1.0256)*100</f>
        <v>-0.92865361980569716</v>
      </c>
      <c r="L20" s="20"/>
      <c r="M20" s="20"/>
      <c r="N20" s="20">
        <f>H20/H19</f>
        <v>0.99742755543775952</v>
      </c>
      <c r="V20" t="s">
        <v>25</v>
      </c>
    </row>
    <row r="21" spans="1:26">
      <c r="A21" s="297" t="s">
        <v>6531</v>
      </c>
      <c r="B21" s="60" t="s">
        <v>4357</v>
      </c>
      <c r="C21" s="49">
        <v>15584</v>
      </c>
      <c r="D21" s="60">
        <v>4776</v>
      </c>
      <c r="E21" s="275" t="s">
        <v>4219</v>
      </c>
      <c r="F21" s="277">
        <v>1253</v>
      </c>
      <c r="G21" s="275">
        <f t="shared" si="0"/>
        <v>58656.538391993388</v>
      </c>
      <c r="H21" s="276">
        <f t="shared" si="1"/>
        <v>12.437350359138069</v>
      </c>
      <c r="I21" s="280">
        <f t="shared" si="8"/>
        <v>12.072322670375522</v>
      </c>
      <c r="J21" s="20">
        <f t="shared" ref="J21:J22" si="11">I21/H21</f>
        <v>0.97065068698540358</v>
      </c>
      <c r="K21" s="20">
        <f t="shared" ref="K21:K22" si="12">(1/J21-1.0256)*100</f>
        <v>0.4636740578372045</v>
      </c>
      <c r="L21" s="20"/>
      <c r="M21" s="20"/>
      <c r="N21" s="20">
        <f t="shared" ref="N21:N22" si="13">H21/H20</f>
        <v>1.0136997858164187</v>
      </c>
      <c r="W21" t="s">
        <v>25</v>
      </c>
    </row>
    <row r="22" spans="1:26">
      <c r="A22" s="297" t="s">
        <v>6542</v>
      </c>
      <c r="B22" s="60" t="s">
        <v>4357</v>
      </c>
      <c r="C22" s="49">
        <v>16011</v>
      </c>
      <c r="D22" s="60">
        <v>1875</v>
      </c>
      <c r="E22" s="275" t="s">
        <v>4219</v>
      </c>
      <c r="F22" s="277">
        <v>1275</v>
      </c>
      <c r="G22" s="275">
        <f t="shared" si="0"/>
        <v>23250.57981903783</v>
      </c>
      <c r="H22" s="276">
        <f t="shared" si="1"/>
        <v>12.55764705882353</v>
      </c>
      <c r="I22" s="280">
        <f t="shared" si="8"/>
        <v>12.072322670375522</v>
      </c>
      <c r="J22" s="20">
        <f t="shared" si="11"/>
        <v>0.96135228310091747</v>
      </c>
      <c r="K22" s="20">
        <f t="shared" si="12"/>
        <v>1.460140959609646</v>
      </c>
      <c r="L22" s="20"/>
      <c r="M22" s="20"/>
      <c r="N22" s="20">
        <f t="shared" si="13"/>
        <v>1.0096722128276363</v>
      </c>
    </row>
    <row r="23" spans="1:26">
      <c r="A23" s="340" t="s">
        <v>6523</v>
      </c>
      <c r="B23" s="275" t="s">
        <v>4219</v>
      </c>
      <c r="C23" s="277">
        <v>1205</v>
      </c>
      <c r="D23" s="275">
        <v>11869</v>
      </c>
      <c r="E23" s="294" t="s">
        <v>5275</v>
      </c>
      <c r="F23" s="312">
        <v>1342.3</v>
      </c>
      <c r="G23" s="294">
        <f t="shared" ref="G23:G28" si="14">C23*D23*0.99114/(F23*1.0037158)</f>
        <v>10521.455664099438</v>
      </c>
      <c r="H23" s="341">
        <f t="shared" ref="H23:H28" si="15">C23/F23</f>
        <v>0.89771288087610823</v>
      </c>
      <c r="I23" s="342">
        <f t="shared" ref="I23:I31" si="16">$R$2/$R$3</f>
        <v>0.94295081967213112</v>
      </c>
      <c r="J23" s="20">
        <f t="shared" ref="J23:J25" si="17">I23/H23</f>
        <v>1.0503924358887149</v>
      </c>
      <c r="K23" s="20">
        <f>(1/J23-1.0256)*100</f>
        <v>-7.3574865552110573</v>
      </c>
      <c r="L23" s="20"/>
      <c r="M23" s="20"/>
      <c r="N23" s="20">
        <f>1</f>
        <v>1</v>
      </c>
      <c r="O23" s="112">
        <f t="shared" ref="O23:O26" si="18">F23-C23</f>
        <v>137.29999999999995</v>
      </c>
      <c r="P23" s="112">
        <f>R3-R2</f>
        <v>87</v>
      </c>
      <c r="R23" s="373"/>
      <c r="T23" s="374"/>
      <c r="W23" s="374"/>
    </row>
    <row r="24" spans="1:26">
      <c r="A24" s="340" t="s">
        <v>6526</v>
      </c>
      <c r="B24" s="275" t="s">
        <v>4219</v>
      </c>
      <c r="C24" s="277">
        <v>1225</v>
      </c>
      <c r="D24" s="275">
        <v>54062</v>
      </c>
      <c r="E24" s="294" t="s">
        <v>5275</v>
      </c>
      <c r="F24" s="312">
        <v>1351.99</v>
      </c>
      <c r="G24" s="294">
        <f t="shared" si="14"/>
        <v>48370.319990677061</v>
      </c>
      <c r="H24" s="341">
        <f t="shared" si="15"/>
        <v>0.90607179047182296</v>
      </c>
      <c r="I24" s="342">
        <f t="shared" si="16"/>
        <v>0.94295081967213112</v>
      </c>
      <c r="J24" s="20">
        <f t="shared" si="17"/>
        <v>1.0407021050518568</v>
      </c>
      <c r="K24" s="20">
        <f>(1/J24-1.0256)*100</f>
        <v>-6.4710236112983317</v>
      </c>
      <c r="L24" s="20"/>
      <c r="M24" s="20"/>
      <c r="N24" s="20">
        <f>H24/H23</f>
        <v>1.0093113397098157</v>
      </c>
      <c r="O24" s="112">
        <f t="shared" si="18"/>
        <v>126.99000000000001</v>
      </c>
      <c r="P24" s="112"/>
      <c r="Q24" s="94" t="s">
        <v>25</v>
      </c>
      <c r="R24" s="373"/>
      <c r="T24" s="374"/>
      <c r="U24" s="374"/>
      <c r="W24" s="374"/>
      <c r="Z24" s="374"/>
    </row>
    <row r="25" spans="1:26">
      <c r="A25" s="340" t="s">
        <v>6528</v>
      </c>
      <c r="B25" s="275" t="s">
        <v>4219</v>
      </c>
      <c r="C25" s="277">
        <v>1299.2</v>
      </c>
      <c r="D25" s="275">
        <v>183853</v>
      </c>
      <c r="E25" s="294" t="s">
        <v>5275</v>
      </c>
      <c r="F25" s="312">
        <v>1403</v>
      </c>
      <c r="G25" s="294">
        <f t="shared" si="14"/>
        <v>168117.64764379043</v>
      </c>
      <c r="H25" s="341">
        <f t="shared" si="15"/>
        <v>0.92601568068424811</v>
      </c>
      <c r="I25" s="342">
        <f t="shared" si="16"/>
        <v>0.94295081967213112</v>
      </c>
      <c r="J25" s="20">
        <f t="shared" si="17"/>
        <v>1.0182881773399013</v>
      </c>
      <c r="K25" s="20">
        <f>(1/J25-1.0256)*100</f>
        <v>-4.3559726673519927</v>
      </c>
      <c r="L25" s="20"/>
      <c r="M25" s="20"/>
      <c r="N25" s="20">
        <f t="shared" ref="N25" si="19">H25/H24</f>
        <v>1.0220113796965686</v>
      </c>
      <c r="O25" s="112">
        <f t="shared" si="18"/>
        <v>103.79999999999995</v>
      </c>
      <c r="R25" s="373"/>
      <c r="T25" s="374"/>
      <c r="U25" s="374"/>
      <c r="W25" s="374"/>
      <c r="Z25" s="374"/>
    </row>
    <row r="26" spans="1:26">
      <c r="A26" s="340" t="s">
        <v>6528</v>
      </c>
      <c r="B26" s="275" t="s">
        <v>4219</v>
      </c>
      <c r="C26" s="277">
        <v>1307</v>
      </c>
      <c r="D26" s="275">
        <v>382118</v>
      </c>
      <c r="E26" s="294" t="s">
        <v>5275</v>
      </c>
      <c r="F26" s="312">
        <v>1386.7</v>
      </c>
      <c r="G26" s="294">
        <f t="shared" si="14"/>
        <v>355643.44701664918</v>
      </c>
      <c r="H26" s="341">
        <f t="shared" si="15"/>
        <v>0.94252542006201767</v>
      </c>
      <c r="I26" s="342">
        <f t="shared" si="16"/>
        <v>0.94295081967213112</v>
      </c>
      <c r="J26" s="20">
        <f t="shared" ref="J26" si="20">I26/H26</f>
        <v>1.0004513401984272</v>
      </c>
      <c r="K26" s="20">
        <f t="shared" ref="K26" si="21">(1/J26-1.0256)*100</f>
        <v>-2.6051136582352696</v>
      </c>
      <c r="L26" s="20"/>
      <c r="M26" s="20"/>
      <c r="N26" s="20">
        <f t="shared" ref="N26" si="22">H26/H25</f>
        <v>1.0178287902917262</v>
      </c>
      <c r="O26" s="112">
        <f t="shared" si="18"/>
        <v>79.700000000000045</v>
      </c>
      <c r="R26" s="373"/>
      <c r="T26" s="374"/>
      <c r="U26" s="374"/>
      <c r="W26" s="374"/>
      <c r="Z26" s="374"/>
    </row>
    <row r="27" spans="1:26">
      <c r="A27" s="340" t="s">
        <v>6676</v>
      </c>
      <c r="B27" s="275" t="s">
        <v>4219</v>
      </c>
      <c r="C27" s="277">
        <v>1438.85</v>
      </c>
      <c r="D27" s="275">
        <v>160065</v>
      </c>
      <c r="E27" s="294" t="s">
        <v>5275</v>
      </c>
      <c r="F27" s="312">
        <v>1492.1</v>
      </c>
      <c r="G27" s="294">
        <f t="shared" si="14"/>
        <v>152418.68577873183</v>
      </c>
      <c r="H27" s="341">
        <f t="shared" si="15"/>
        <v>0.96431204342872456</v>
      </c>
      <c r="I27" s="342">
        <f t="shared" si="16"/>
        <v>0.94295081967213112</v>
      </c>
      <c r="J27" s="20">
        <f t="shared" ref="J27:J31" si="23">I27/H27</f>
        <v>0.97784822464661847</v>
      </c>
      <c r="K27" s="20">
        <f t="shared" ref="K27:K31" si="24">(1/J27-1.0256)*100</f>
        <v>-0.29464073513179034</v>
      </c>
      <c r="L27" s="20"/>
      <c r="M27" s="20"/>
      <c r="N27" s="20">
        <f t="shared" ref="N27:N31" si="25">H27/H26</f>
        <v>1.0231151573241106</v>
      </c>
      <c r="O27" s="112">
        <f>F27-C27</f>
        <v>53.25</v>
      </c>
      <c r="P27" s="372"/>
      <c r="Q27" t="s">
        <v>25</v>
      </c>
      <c r="R27" s="373"/>
      <c r="T27" s="374"/>
      <c r="W27" s="374"/>
      <c r="Y27" s="374"/>
    </row>
    <row r="28" spans="1:26">
      <c r="A28" s="340" t="s">
        <v>6676</v>
      </c>
      <c r="B28" s="275" t="s">
        <v>4219</v>
      </c>
      <c r="C28" s="277">
        <v>1444</v>
      </c>
      <c r="D28" s="275">
        <v>40241</v>
      </c>
      <c r="E28" s="294" t="s">
        <v>5275</v>
      </c>
      <c r="F28" s="312">
        <v>1485.63</v>
      </c>
      <c r="G28" s="294">
        <f t="shared" si="14"/>
        <v>38623.314451831859</v>
      </c>
      <c r="H28" s="341">
        <f t="shared" si="15"/>
        <v>0.97197821799505923</v>
      </c>
      <c r="I28" s="342">
        <f t="shared" si="16"/>
        <v>0.94295081967213112</v>
      </c>
      <c r="J28" s="20">
        <f t="shared" si="23"/>
        <v>0.97013575223650161</v>
      </c>
      <c r="K28" s="20">
        <f t="shared" si="24"/>
        <v>0.51835761074168207</v>
      </c>
      <c r="L28" s="20"/>
      <c r="M28" s="20"/>
      <c r="N28" s="20">
        <f t="shared" si="25"/>
        <v>1.00794988989153</v>
      </c>
      <c r="O28" s="112">
        <f>F28-C28</f>
        <v>41.630000000000109</v>
      </c>
      <c r="P28" s="373"/>
      <c r="Q28" t="s">
        <v>25</v>
      </c>
      <c r="R28" s="373"/>
      <c r="T28" s="374"/>
      <c r="W28" s="374"/>
      <c r="Y28" s="374"/>
    </row>
    <row r="29" spans="1:26">
      <c r="A29" s="340"/>
      <c r="B29" s="275"/>
      <c r="C29" s="277"/>
      <c r="D29" s="275"/>
      <c r="E29" s="294"/>
      <c r="F29" s="312"/>
      <c r="G29" s="294"/>
      <c r="H29" s="341"/>
      <c r="I29" s="342">
        <f t="shared" si="16"/>
        <v>0.94295081967213112</v>
      </c>
      <c r="J29" s="20" t="e">
        <f t="shared" si="23"/>
        <v>#DIV/0!</v>
      </c>
      <c r="K29" s="20" t="e">
        <f t="shared" si="24"/>
        <v>#DIV/0!</v>
      </c>
      <c r="L29" s="20"/>
      <c r="M29" s="20"/>
      <c r="N29" s="20" t="e">
        <f>H29/#REF!</f>
        <v>#REF!</v>
      </c>
      <c r="O29" s="112"/>
      <c r="P29" s="373"/>
      <c r="R29" s="373"/>
      <c r="S29" s="373"/>
      <c r="T29" s="374"/>
      <c r="W29" s="374"/>
      <c r="Y29" s="374"/>
    </row>
    <row r="30" spans="1:26">
      <c r="A30" s="340"/>
      <c r="B30" s="275"/>
      <c r="C30" s="277"/>
      <c r="D30" s="275"/>
      <c r="E30" s="294"/>
      <c r="F30" s="312"/>
      <c r="G30" s="294"/>
      <c r="H30" s="341"/>
      <c r="I30" s="342">
        <f t="shared" si="16"/>
        <v>0.94295081967213112</v>
      </c>
      <c r="J30" s="20" t="e">
        <f t="shared" si="23"/>
        <v>#DIV/0!</v>
      </c>
      <c r="K30" s="20" t="e">
        <f t="shared" si="24"/>
        <v>#DIV/0!</v>
      </c>
      <c r="L30" s="20"/>
      <c r="M30" s="20"/>
      <c r="N30" s="20" t="e">
        <f t="shared" si="25"/>
        <v>#DIV/0!</v>
      </c>
      <c r="O30" s="112"/>
      <c r="P30" s="373"/>
      <c r="R30" s="373"/>
      <c r="S30" s="373"/>
      <c r="T30" s="374" t="s">
        <v>25</v>
      </c>
      <c r="W30" s="374"/>
      <c r="Y30" s="374"/>
    </row>
    <row r="31" spans="1:26">
      <c r="A31" s="340"/>
      <c r="B31" s="275"/>
      <c r="C31" s="277"/>
      <c r="D31" s="275"/>
      <c r="E31" s="294"/>
      <c r="F31" s="312"/>
      <c r="G31" s="294"/>
      <c r="H31" s="341"/>
      <c r="I31" s="342">
        <f t="shared" si="16"/>
        <v>0.94295081967213112</v>
      </c>
      <c r="J31" s="20" t="e">
        <f t="shared" si="23"/>
        <v>#DIV/0!</v>
      </c>
      <c r="K31" s="20" t="e">
        <f t="shared" si="24"/>
        <v>#DIV/0!</v>
      </c>
      <c r="L31" s="20"/>
      <c r="M31" s="20"/>
      <c r="N31" s="20" t="e">
        <f t="shared" si="25"/>
        <v>#DIV/0!</v>
      </c>
      <c r="O31" s="112"/>
      <c r="P31" s="373"/>
      <c r="Q31" s="112"/>
      <c r="R31" s="373"/>
      <c r="T31" s="374"/>
      <c r="W31" s="374"/>
      <c r="Y31" s="374"/>
    </row>
    <row r="32" spans="1:26">
      <c r="A32" s="60" t="s">
        <v>5792</v>
      </c>
      <c r="B32" s="60" t="s">
        <v>4357</v>
      </c>
      <c r="C32" s="49">
        <v>11624</v>
      </c>
      <c r="D32" s="60">
        <v>8930</v>
      </c>
      <c r="E32" s="294" t="s">
        <v>6668</v>
      </c>
      <c r="F32" s="312">
        <v>1266.3</v>
      </c>
      <c r="G32" s="294">
        <f t="shared" si="0"/>
        <v>80945.870190320566</v>
      </c>
      <c r="H32" s="294">
        <f t="shared" si="1"/>
        <v>9.1794993287530602</v>
      </c>
      <c r="I32" s="294">
        <f>$R$4/$R$3</f>
        <v>11.38360655737705</v>
      </c>
      <c r="J32" s="97">
        <f t="shared" si="2"/>
        <v>1.240111922196022</v>
      </c>
      <c r="K32" s="97">
        <f t="shared" si="3"/>
        <v>-21.922117071725733</v>
      </c>
      <c r="L32" s="97"/>
      <c r="M32" s="97"/>
      <c r="N32" s="97">
        <v>1</v>
      </c>
      <c r="P32" s="112" t="s">
        <v>25</v>
      </c>
      <c r="R32" s="373"/>
      <c r="T32" s="374"/>
      <c r="U32" t="s">
        <v>25</v>
      </c>
      <c r="W32" s="374"/>
      <c r="Y32" s="374"/>
    </row>
    <row r="33" spans="1:25" ht="21">
      <c r="A33" s="60" t="s">
        <v>5793</v>
      </c>
      <c r="B33" s="60" t="s">
        <v>4357</v>
      </c>
      <c r="C33" s="49">
        <v>11612</v>
      </c>
      <c r="D33" s="60">
        <v>352</v>
      </c>
      <c r="E33" s="294" t="s">
        <v>6668</v>
      </c>
      <c r="F33" s="312">
        <v>1250.3</v>
      </c>
      <c r="G33" s="294">
        <f t="shared" si="0"/>
        <v>3228.1945677388489</v>
      </c>
      <c r="H33" s="294">
        <f t="shared" si="1"/>
        <v>9.2873710309525723</v>
      </c>
      <c r="I33" s="294">
        <f>$R$4/$R$3</f>
        <v>11.38360655737705</v>
      </c>
      <c r="J33" s="97">
        <f t="shared" si="2"/>
        <v>1.2257081707447919</v>
      </c>
      <c r="K33" s="313">
        <f t="shared" si="3"/>
        <v>-20.974511392841755</v>
      </c>
      <c r="L33" s="97" t="s">
        <v>25</v>
      </c>
      <c r="M33" s="97" t="s">
        <v>25</v>
      </c>
      <c r="N33" s="97">
        <f>H33/H32</f>
        <v>1.0117513709992465</v>
      </c>
      <c r="P33" t="s">
        <v>25</v>
      </c>
      <c r="Q33" t="s">
        <v>25</v>
      </c>
      <c r="R33" s="373"/>
      <c r="T33" s="374"/>
      <c r="W33" s="374"/>
      <c r="Y33" s="374"/>
    </row>
    <row r="34" spans="1:25">
      <c r="A34" s="150" t="s">
        <v>6649</v>
      </c>
      <c r="B34" s="150" t="s">
        <v>5890</v>
      </c>
      <c r="C34" s="230">
        <v>2599</v>
      </c>
      <c r="D34" s="150">
        <v>1470</v>
      </c>
      <c r="E34" s="275" t="s">
        <v>4219</v>
      </c>
      <c r="F34" s="275">
        <v>1340</v>
      </c>
      <c r="G34" s="275">
        <f t="shared" si="0"/>
        <v>2815.4191403344648</v>
      </c>
      <c r="H34" s="275">
        <f>C34/F34</f>
        <v>1.9395522388059701</v>
      </c>
      <c r="I34" s="275">
        <f>$R$1/$R$2</f>
        <v>1.8810848400556328</v>
      </c>
      <c r="J34" s="97">
        <f>I34/H34</f>
        <v>0.96985520803176151</v>
      </c>
      <c r="K34" s="97">
        <f t="shared" si="3"/>
        <v>0.54817446961126226</v>
      </c>
      <c r="L34" s="97"/>
      <c r="M34" s="97"/>
      <c r="N34" s="97">
        <v>1</v>
      </c>
      <c r="R34" s="373"/>
      <c r="T34" s="374"/>
      <c r="W34" s="374"/>
      <c r="Y34" s="374"/>
    </row>
    <row r="35" spans="1:25">
      <c r="A35" s="60" t="s">
        <v>6531</v>
      </c>
      <c r="B35" s="60" t="s">
        <v>4357</v>
      </c>
      <c r="C35" s="49">
        <v>15550</v>
      </c>
      <c r="D35" s="60">
        <v>37</v>
      </c>
      <c r="E35" s="150" t="s">
        <v>5890</v>
      </c>
      <c r="F35" s="150">
        <v>2374</v>
      </c>
      <c r="G35" s="150">
        <f>C35*D35*0.99114/(F35*1.0037158)</f>
        <v>239.3181548269159</v>
      </c>
      <c r="H35" s="150">
        <f>C35/F35</f>
        <v>6.5501263689974722</v>
      </c>
      <c r="I35" s="150">
        <f>$R$4/$R$1</f>
        <v>6.4177449168207028</v>
      </c>
      <c r="J35" s="97">
        <f>I35/H35</f>
        <v>0.97978948119179099</v>
      </c>
      <c r="K35" s="97">
        <f>(1/J35-1.0256)*100</f>
        <v>-0.49725905450368479</v>
      </c>
      <c r="L35" s="97"/>
      <c r="M35" s="97"/>
      <c r="N35" s="97">
        <v>1</v>
      </c>
      <c r="P35" t="s">
        <v>25</v>
      </c>
      <c r="Q35" t="s">
        <v>25</v>
      </c>
      <c r="R35" s="373"/>
      <c r="T35" s="374"/>
      <c r="W35" s="374"/>
      <c r="Y35" s="374"/>
    </row>
    <row r="36" spans="1:25">
      <c r="A36" s="275" t="s">
        <v>6683</v>
      </c>
      <c r="B36" s="275" t="s">
        <v>4219</v>
      </c>
      <c r="C36" s="277">
        <v>1445</v>
      </c>
      <c r="D36" s="275">
        <v>20000</v>
      </c>
      <c r="E36" s="119" t="s">
        <v>5823</v>
      </c>
      <c r="F36" s="119">
        <v>1441</v>
      </c>
      <c r="G36" s="119">
        <f>C36*D36*0.99114/(F36*1.0037158)</f>
        <v>19804.236539310674</v>
      </c>
      <c r="H36" s="119">
        <f>C36/F36</f>
        <v>1.0027758501040944</v>
      </c>
      <c r="I36" s="119">
        <f>$R$2/$R$6</f>
        <v>0.99515570934256059</v>
      </c>
      <c r="J36" s="97">
        <f>I36/H36</f>
        <v>0.992400953053723</v>
      </c>
      <c r="K36" s="97">
        <f>(1/J36-1.0256)*100</f>
        <v>-1.7942765368277991</v>
      </c>
      <c r="L36" s="97"/>
      <c r="M36" s="97"/>
      <c r="N36" s="97">
        <v>1</v>
      </c>
      <c r="Q36" t="s">
        <v>25</v>
      </c>
    </row>
    <row r="37" spans="1:25">
      <c r="A37" s="275" t="s">
        <v>6683</v>
      </c>
      <c r="B37" s="275" t="s">
        <v>4219</v>
      </c>
      <c r="C37" s="277">
        <v>1447</v>
      </c>
      <c r="D37" s="275">
        <v>40476</v>
      </c>
      <c r="E37" s="119" t="s">
        <v>5823</v>
      </c>
      <c r="F37" s="119">
        <v>1458</v>
      </c>
      <c r="G37" s="119">
        <f>C37*D37*0.99114/(F37*1.0037158)</f>
        <v>39667.31795229853</v>
      </c>
      <c r="H37" s="119">
        <f>C37/F37</f>
        <v>0.99245541838134432</v>
      </c>
      <c r="I37" s="119">
        <f>$R$2/$R$6</f>
        <v>0.99515570934256059</v>
      </c>
      <c r="J37" s="97">
        <f>I37/H37</f>
        <v>1.0027208183976872</v>
      </c>
      <c r="K37" s="97">
        <f>(1/J37-1.0256)*100</f>
        <v>-2.8313435632098538</v>
      </c>
      <c r="L37" s="97"/>
      <c r="M37" s="97"/>
      <c r="N37" s="97">
        <f>H37/H36</f>
        <v>0.9897081369463786</v>
      </c>
      <c r="O37" s="375"/>
      <c r="P37" s="375"/>
    </row>
    <row r="38" spans="1:25">
      <c r="A38" s="94"/>
      <c r="B38" s="113"/>
      <c r="C38" s="113"/>
      <c r="D38" s="94"/>
      <c r="E38" s="94"/>
      <c r="F38" s="94"/>
      <c r="G38" s="94"/>
      <c r="H38" s="94"/>
      <c r="I38" s="94"/>
      <c r="J38" s="94"/>
      <c r="K38" s="94"/>
      <c r="L38" s="94"/>
      <c r="M38" s="94"/>
      <c r="N38" s="94"/>
    </row>
    <row r="39" spans="1:25">
      <c r="A39" s="94"/>
      <c r="B39" s="94"/>
      <c r="C39" s="94"/>
      <c r="D39" s="94"/>
      <c r="E39" s="94"/>
      <c r="F39" s="94" t="s">
        <v>25</v>
      </c>
      <c r="G39" s="94"/>
      <c r="H39" s="94"/>
      <c r="I39" s="94"/>
      <c r="J39" s="94"/>
      <c r="K39" s="94"/>
      <c r="L39" s="94"/>
      <c r="M39" s="94"/>
      <c r="N39" s="94"/>
    </row>
    <row r="40" spans="1:25">
      <c r="A40" s="113"/>
      <c r="B40" s="113"/>
      <c r="C40" s="113"/>
      <c r="D40" s="113"/>
      <c r="E40" s="113"/>
      <c r="F40" s="113"/>
      <c r="G40" s="113"/>
      <c r="H40" s="113"/>
      <c r="I40" s="113"/>
      <c r="J40" s="113"/>
      <c r="K40" s="113"/>
      <c r="L40" s="113"/>
      <c r="M40" s="113"/>
      <c r="N40" s="113"/>
    </row>
    <row r="41" spans="1:25">
      <c r="A41" s="97" t="s">
        <v>5525</v>
      </c>
      <c r="B41" s="97"/>
      <c r="C41" s="97" t="s">
        <v>935</v>
      </c>
      <c r="D41" s="97" t="s">
        <v>6553</v>
      </c>
      <c r="E41" s="97"/>
      <c r="F41" s="97" t="s">
        <v>935</v>
      </c>
      <c r="G41" s="97" t="s">
        <v>6554</v>
      </c>
      <c r="H41" s="97"/>
      <c r="I41" s="97"/>
      <c r="J41" s="97"/>
      <c r="K41" s="97"/>
      <c r="L41" s="97" t="s">
        <v>938</v>
      </c>
      <c r="M41" s="97" t="s">
        <v>5</v>
      </c>
      <c r="N41" s="97" t="s">
        <v>6555</v>
      </c>
      <c r="P41" t="s">
        <v>6556</v>
      </c>
    </row>
    <row r="42" spans="1:25">
      <c r="A42" s="97" t="s">
        <v>5515</v>
      </c>
      <c r="B42" s="97" t="s">
        <v>6552</v>
      </c>
      <c r="C42" s="97">
        <v>17800</v>
      </c>
      <c r="D42" s="97">
        <v>916</v>
      </c>
      <c r="E42" s="97" t="s">
        <v>4357</v>
      </c>
      <c r="F42" s="97">
        <v>16472</v>
      </c>
      <c r="G42" s="97">
        <v>916</v>
      </c>
      <c r="H42" s="97"/>
      <c r="I42" s="97"/>
      <c r="J42" s="97"/>
      <c r="K42" s="97"/>
      <c r="L42" s="93">
        <v>987467</v>
      </c>
      <c r="M42" s="93">
        <f>L42/2</f>
        <v>493733.5</v>
      </c>
      <c r="N42" s="97" t="s">
        <v>5515</v>
      </c>
      <c r="P42">
        <v>1086</v>
      </c>
    </row>
    <row r="43" spans="1:25" ht="270">
      <c r="A43" s="273" t="s">
        <v>5747</v>
      </c>
      <c r="B43" s="355" t="s">
        <v>6631</v>
      </c>
      <c r="C43" s="273">
        <v>21532</v>
      </c>
      <c r="D43" s="273">
        <v>1859</v>
      </c>
      <c r="E43" s="275" t="s">
        <v>6559</v>
      </c>
      <c r="F43" s="275">
        <v>1187</v>
      </c>
      <c r="G43" s="275">
        <f t="shared" ref="G43:G49" si="26">C43*D43*0.99114/(F43*1.0037158)</f>
        <v>33299.467209851166</v>
      </c>
      <c r="H43" s="275">
        <f t="shared" ref="H43:H49" si="27">C43/F43</f>
        <v>18.139848357203032</v>
      </c>
      <c r="I43" s="275">
        <f t="shared" ref="I43:I48" si="28">$R$5/$R$2</f>
        <v>15.507649513212796</v>
      </c>
      <c r="J43" s="97">
        <f t="shared" ref="J43:J49" si="29">I43/H43</f>
        <v>0.85489410979860625</v>
      </c>
      <c r="K43" s="97">
        <f t="shared" ref="K43:K49" si="30">(1/J43-1.0256)*100</f>
        <v>14.413551289945993</v>
      </c>
      <c r="L43" s="93">
        <v>0</v>
      </c>
      <c r="M43" s="93">
        <f t="shared" ref="M43:M52" si="31">L43/2</f>
        <v>0</v>
      </c>
      <c r="N43" s="97" t="s">
        <v>6548</v>
      </c>
      <c r="U43" t="s">
        <v>25</v>
      </c>
    </row>
    <row r="44" spans="1:25">
      <c r="A44" s="273" t="s">
        <v>5753</v>
      </c>
      <c r="B44" s="273" t="s">
        <v>6558</v>
      </c>
      <c r="C44" s="273">
        <v>22420.1</v>
      </c>
      <c r="D44" s="294">
        <v>1000</v>
      </c>
      <c r="E44" s="275" t="s">
        <v>6560</v>
      </c>
      <c r="F44" s="275">
        <v>1161</v>
      </c>
      <c r="G44" s="275">
        <f t="shared" si="26"/>
        <v>19069.072437793271</v>
      </c>
      <c r="H44" s="275">
        <f t="shared" si="27"/>
        <v>19.311024978466836</v>
      </c>
      <c r="I44" s="275">
        <f t="shared" si="28"/>
        <v>15.507649513212796</v>
      </c>
      <c r="J44" s="97">
        <f t="shared" si="29"/>
        <v>0.8030464219535175</v>
      </c>
      <c r="K44" s="97">
        <f t="shared" si="30"/>
        <v>21.965802327512595</v>
      </c>
      <c r="L44" s="93">
        <v>19462210</v>
      </c>
      <c r="M44" s="93">
        <f t="shared" si="31"/>
        <v>9731105</v>
      </c>
      <c r="N44" s="97" t="s">
        <v>6542</v>
      </c>
    </row>
    <row r="45" spans="1:25">
      <c r="A45" s="273" t="s">
        <v>5755</v>
      </c>
      <c r="B45" s="273" t="s">
        <v>6558</v>
      </c>
      <c r="C45" s="273">
        <v>23233.1</v>
      </c>
      <c r="D45" s="294">
        <v>1000</v>
      </c>
      <c r="E45" s="275" t="s">
        <v>6560</v>
      </c>
      <c r="F45" s="275">
        <v>1152</v>
      </c>
      <c r="G45" s="275">
        <f t="shared" si="26"/>
        <v>19914.936480069027</v>
      </c>
      <c r="H45" s="275">
        <f t="shared" si="27"/>
        <v>20.167621527777776</v>
      </c>
      <c r="I45" s="275">
        <f t="shared" si="28"/>
        <v>15.507649513212796</v>
      </c>
      <c r="J45" s="97">
        <f t="shared" si="29"/>
        <v>0.76893794798030146</v>
      </c>
      <c r="K45" s="97">
        <f t="shared" si="30"/>
        <v>27.48950563652215</v>
      </c>
      <c r="L45" s="93">
        <v>0</v>
      </c>
      <c r="M45" s="93">
        <f t="shared" si="31"/>
        <v>0</v>
      </c>
      <c r="N45" s="97" t="s">
        <v>6542</v>
      </c>
    </row>
    <row r="46" spans="1:25">
      <c r="A46" s="273" t="s">
        <v>5757</v>
      </c>
      <c r="B46" s="273" t="s">
        <v>6558</v>
      </c>
      <c r="C46" s="273">
        <v>23900</v>
      </c>
      <c r="D46" s="294">
        <v>1000</v>
      </c>
      <c r="E46" s="275" t="s">
        <v>6561</v>
      </c>
      <c r="F46" s="275">
        <v>1153</v>
      </c>
      <c r="G46" s="275">
        <f t="shared" si="26"/>
        <v>20468.821398374203</v>
      </c>
      <c r="H46" s="275">
        <f t="shared" si="27"/>
        <v>20.7285342584562</v>
      </c>
      <c r="I46" s="275">
        <f t="shared" si="28"/>
        <v>15.507649513212796</v>
      </c>
      <c r="J46" s="97">
        <f t="shared" si="29"/>
        <v>0.74813053927758799</v>
      </c>
      <c r="K46" s="97">
        <f t="shared" si="30"/>
        <v>31.106512393094256</v>
      </c>
      <c r="L46" s="93">
        <v>0</v>
      </c>
      <c r="M46" s="93">
        <f t="shared" si="31"/>
        <v>0</v>
      </c>
      <c r="N46" s="97" t="s">
        <v>6542</v>
      </c>
      <c r="P46" t="s">
        <v>25</v>
      </c>
      <c r="R46" t="s">
        <v>25</v>
      </c>
    </row>
    <row r="47" spans="1:25">
      <c r="A47" s="273" t="s">
        <v>5770</v>
      </c>
      <c r="B47" s="273" t="s">
        <v>6558</v>
      </c>
      <c r="C47" s="273">
        <v>22500</v>
      </c>
      <c r="D47" s="294">
        <v>2000</v>
      </c>
      <c r="E47" s="275" t="s">
        <v>6560</v>
      </c>
      <c r="F47" s="275">
        <v>1093</v>
      </c>
      <c r="G47" s="275">
        <f t="shared" si="26"/>
        <v>40655.246136679802</v>
      </c>
      <c r="H47" s="275">
        <f t="shared" si="27"/>
        <v>20.585544373284538</v>
      </c>
      <c r="I47" s="275">
        <f t="shared" si="28"/>
        <v>15.507649513212796</v>
      </c>
      <c r="J47" s="97">
        <f t="shared" si="29"/>
        <v>0.75332715190851496</v>
      </c>
      <c r="K47" s="97">
        <f t="shared" si="30"/>
        <v>30.184452057323607</v>
      </c>
      <c r="L47" s="93">
        <v>0</v>
      </c>
      <c r="M47" s="93">
        <f t="shared" si="31"/>
        <v>0</v>
      </c>
      <c r="N47" s="97" t="s">
        <v>6542</v>
      </c>
    </row>
    <row r="48" spans="1:25">
      <c r="A48" s="273" t="s">
        <v>6522</v>
      </c>
      <c r="B48" s="273" t="s">
        <v>6557</v>
      </c>
      <c r="C48" s="273">
        <v>23706</v>
      </c>
      <c r="D48" s="294">
        <v>1000</v>
      </c>
      <c r="E48" s="275" t="s">
        <v>4219</v>
      </c>
      <c r="F48" s="275">
        <v>1155</v>
      </c>
      <c r="G48" s="275">
        <f t="shared" si="26"/>
        <v>20267.516662882761</v>
      </c>
      <c r="H48" s="275">
        <f t="shared" si="27"/>
        <v>20.524675324675325</v>
      </c>
      <c r="I48" s="275">
        <f t="shared" si="28"/>
        <v>15.507649513212796</v>
      </c>
      <c r="J48" s="97">
        <f t="shared" si="29"/>
        <v>0.75556125823676612</v>
      </c>
      <c r="K48" s="97">
        <f t="shared" si="30"/>
        <v>29.791942228175404</v>
      </c>
      <c r="L48" s="93">
        <v>0</v>
      </c>
      <c r="M48" s="93">
        <f t="shared" si="31"/>
        <v>0</v>
      </c>
      <c r="N48" s="97" t="s">
        <v>6542</v>
      </c>
    </row>
    <row r="49" spans="1:19">
      <c r="A49" s="60" t="s">
        <v>6522</v>
      </c>
      <c r="B49" s="60" t="s">
        <v>4357</v>
      </c>
      <c r="C49" s="60">
        <v>16794</v>
      </c>
      <c r="D49" s="60">
        <v>2227</v>
      </c>
      <c r="E49" s="275" t="s">
        <v>4219</v>
      </c>
      <c r="F49" s="275">
        <v>1146.6500000000001</v>
      </c>
      <c r="G49" s="275">
        <f t="shared" si="26"/>
        <v>32208.294857700886</v>
      </c>
      <c r="H49" s="275">
        <f t="shared" si="27"/>
        <v>14.646143112545239</v>
      </c>
      <c r="I49" s="275">
        <f>$R$4/$R$2</f>
        <v>12.072322670375522</v>
      </c>
      <c r="J49" s="97">
        <f t="shared" si="29"/>
        <v>0.82426633261796434</v>
      </c>
      <c r="K49" s="97">
        <f t="shared" si="30"/>
        <v>18.76001034470076</v>
      </c>
      <c r="L49" s="93">
        <v>3219484</v>
      </c>
      <c r="M49" s="93">
        <f t="shared" si="31"/>
        <v>1609742</v>
      </c>
      <c r="N49" s="97" t="s">
        <v>6528</v>
      </c>
      <c r="P49" t="s">
        <v>25</v>
      </c>
    </row>
    <row r="50" spans="1:19">
      <c r="A50" s="20" t="s">
        <v>6638</v>
      </c>
      <c r="B50" s="20" t="s">
        <v>6640</v>
      </c>
      <c r="C50" s="20">
        <v>21350</v>
      </c>
      <c r="D50" s="20">
        <v>639</v>
      </c>
      <c r="E50" s="20" t="s">
        <v>4361</v>
      </c>
      <c r="F50" s="20">
        <v>20666.599999999999</v>
      </c>
      <c r="G50" s="20">
        <v>639</v>
      </c>
      <c r="H50" s="20"/>
      <c r="I50" s="20"/>
      <c r="J50" s="20"/>
      <c r="K50" s="20"/>
      <c r="L50" s="360">
        <v>268731</v>
      </c>
      <c r="M50" s="360">
        <f t="shared" si="31"/>
        <v>134365.5</v>
      </c>
      <c r="N50" s="20" t="s">
        <v>6638</v>
      </c>
      <c r="Q50" t="s">
        <v>25</v>
      </c>
    </row>
    <row r="51" spans="1:19">
      <c r="A51" s="97" t="s">
        <v>6654</v>
      </c>
      <c r="B51" s="97" t="s">
        <v>6656</v>
      </c>
      <c r="C51" s="97">
        <v>1286.5</v>
      </c>
      <c r="D51" s="97">
        <v>12000</v>
      </c>
      <c r="E51" s="97" t="s">
        <v>4219</v>
      </c>
      <c r="F51" s="97"/>
      <c r="G51" s="97"/>
      <c r="H51" s="97"/>
      <c r="I51" s="97"/>
      <c r="J51" s="97"/>
      <c r="K51" s="97"/>
      <c r="L51" s="360"/>
      <c r="M51" s="360">
        <f t="shared" si="31"/>
        <v>0</v>
      </c>
      <c r="N51" s="97"/>
      <c r="P51" t="s">
        <v>25</v>
      </c>
    </row>
    <row r="52" spans="1:19" ht="30">
      <c r="A52" s="97" t="s">
        <v>6655</v>
      </c>
      <c r="B52" s="97" t="s">
        <v>6656</v>
      </c>
      <c r="C52" s="97">
        <v>1275</v>
      </c>
      <c r="D52" s="97">
        <v>9000</v>
      </c>
      <c r="E52" s="97" t="s">
        <v>4219</v>
      </c>
      <c r="F52" s="97">
        <v>1314</v>
      </c>
      <c r="G52" s="97">
        <v>9000</v>
      </c>
      <c r="H52" s="97"/>
      <c r="I52" s="97"/>
      <c r="J52" s="97"/>
      <c r="K52" s="97"/>
      <c r="L52" s="360">
        <v>191456</v>
      </c>
      <c r="M52" s="360">
        <f t="shared" si="31"/>
        <v>95728</v>
      </c>
      <c r="N52" s="36" t="s">
        <v>6678</v>
      </c>
    </row>
    <row r="53" spans="1:19">
      <c r="A53" s="97" t="s">
        <v>6655</v>
      </c>
      <c r="B53" s="97" t="s">
        <v>6640</v>
      </c>
      <c r="C53" s="97">
        <v>19703</v>
      </c>
      <c r="D53" s="97">
        <v>210</v>
      </c>
      <c r="E53" s="97" t="s">
        <v>4361</v>
      </c>
      <c r="F53" s="97">
        <v>20548.900000000001</v>
      </c>
      <c r="G53" s="97">
        <v>210</v>
      </c>
      <c r="H53" s="97"/>
      <c r="I53" s="97"/>
      <c r="J53" s="97"/>
      <c r="K53" s="97"/>
      <c r="L53" s="360">
        <v>124637</v>
      </c>
      <c r="M53" s="360">
        <f>L53/2</f>
        <v>62318.5</v>
      </c>
      <c r="N53" s="97" t="s">
        <v>6657</v>
      </c>
    </row>
    <row r="54" spans="1:19">
      <c r="A54" s="97" t="s">
        <v>6657</v>
      </c>
      <c r="B54" s="97" t="s">
        <v>6656</v>
      </c>
      <c r="C54" s="97">
        <v>1266.5</v>
      </c>
      <c r="D54" s="97">
        <v>8000</v>
      </c>
      <c r="E54" s="97" t="s">
        <v>4219</v>
      </c>
      <c r="F54" s="97">
        <v>1301</v>
      </c>
      <c r="G54" s="97">
        <v>8000</v>
      </c>
      <c r="H54" s="97"/>
      <c r="I54" s="97"/>
      <c r="J54" s="97"/>
      <c r="K54" s="97"/>
      <c r="L54" s="360">
        <v>146805</v>
      </c>
      <c r="M54" s="360">
        <f>L54/2</f>
        <v>73402.5</v>
      </c>
      <c r="N54" s="97" t="s">
        <v>6657</v>
      </c>
      <c r="P54" t="s">
        <v>25</v>
      </c>
    </row>
    <row r="55" spans="1:19" ht="30">
      <c r="A55" s="36" t="s">
        <v>6679</v>
      </c>
      <c r="B55" s="97" t="s">
        <v>6656</v>
      </c>
      <c r="C55" s="97" t="s">
        <v>6680</v>
      </c>
      <c r="D55" s="97">
        <v>21000</v>
      </c>
      <c r="E55" s="97" t="s">
        <v>4219</v>
      </c>
      <c r="F55" s="97">
        <v>1312</v>
      </c>
      <c r="G55" s="97">
        <v>21000</v>
      </c>
      <c r="H55" s="97"/>
      <c r="I55" s="97"/>
      <c r="J55" s="97"/>
      <c r="K55" s="97"/>
      <c r="L55" s="360">
        <v>345822</v>
      </c>
      <c r="M55" s="360">
        <f>L55/2</f>
        <v>172911</v>
      </c>
      <c r="N55" s="97" t="s">
        <v>6681</v>
      </c>
    </row>
    <row r="56" spans="1:19">
      <c r="A56" s="97"/>
      <c r="B56" s="97"/>
      <c r="C56" s="97"/>
      <c r="D56" s="97"/>
      <c r="E56" s="97"/>
      <c r="F56" s="97"/>
      <c r="G56" s="97"/>
      <c r="H56" s="97"/>
      <c r="I56" s="97"/>
      <c r="J56" s="97"/>
      <c r="K56" s="97" t="s">
        <v>25</v>
      </c>
      <c r="L56" s="360"/>
      <c r="M56" s="360"/>
      <c r="N56" s="97"/>
      <c r="P56" t="s">
        <v>25</v>
      </c>
      <c r="S56" t="s">
        <v>25</v>
      </c>
    </row>
    <row r="57" spans="1:19">
      <c r="A57" s="94"/>
      <c r="N57" s="94"/>
      <c r="P57" t="s">
        <v>25</v>
      </c>
    </row>
    <row r="58" spans="1:19">
      <c r="A58" s="94"/>
    </row>
    <row r="59" spans="1:19">
      <c r="A59" s="97" t="s">
        <v>6543</v>
      </c>
      <c r="B59" s="97"/>
      <c r="C59" s="97" t="s">
        <v>922</v>
      </c>
      <c r="D59" s="97" t="s">
        <v>935</v>
      </c>
      <c r="E59" s="97" t="s">
        <v>922</v>
      </c>
      <c r="F59" s="97" t="s">
        <v>935</v>
      </c>
      <c r="G59" s="97" t="s">
        <v>938</v>
      </c>
      <c r="H59" s="97" t="s">
        <v>5</v>
      </c>
      <c r="I59" s="97" t="s">
        <v>6672</v>
      </c>
      <c r="J59" s="97"/>
      <c r="K59" s="97"/>
      <c r="L59" s="97"/>
      <c r="M59" s="97"/>
      <c r="N59" s="97"/>
      <c r="Q59" s="94"/>
    </row>
    <row r="60" spans="1:19">
      <c r="A60" s="97" t="s">
        <v>6542</v>
      </c>
      <c r="B60" s="97" t="s">
        <v>4219</v>
      </c>
      <c r="C60" s="97">
        <v>33874</v>
      </c>
      <c r="D60" s="112">
        <v>1240</v>
      </c>
      <c r="E60" s="97">
        <v>33874</v>
      </c>
      <c r="F60" s="93">
        <v>1278</v>
      </c>
      <c r="G60" s="93">
        <v>750337</v>
      </c>
      <c r="H60" s="93">
        <f>G60/2</f>
        <v>375168.5</v>
      </c>
      <c r="I60" s="97">
        <v>0</v>
      </c>
      <c r="J60" s="97"/>
      <c r="K60" s="97"/>
      <c r="L60" s="97"/>
      <c r="M60" s="97"/>
      <c r="N60" s="97"/>
      <c r="P60" s="94"/>
      <c r="Q60" s="94"/>
      <c r="R60" s="94"/>
    </row>
    <row r="61" spans="1:19">
      <c r="A61" s="97" t="s">
        <v>6548</v>
      </c>
      <c r="B61" s="97" t="s">
        <v>4219</v>
      </c>
      <c r="C61" s="97">
        <v>33274</v>
      </c>
      <c r="D61" s="97">
        <v>1291</v>
      </c>
      <c r="E61" s="97">
        <v>33274</v>
      </c>
      <c r="F61" s="97">
        <v>1314.3</v>
      </c>
      <c r="G61" s="93">
        <v>229922</v>
      </c>
      <c r="H61" s="93">
        <f>G61/2</f>
        <v>114961</v>
      </c>
      <c r="I61" s="97">
        <v>0</v>
      </c>
      <c r="J61" s="97" t="s">
        <v>25</v>
      </c>
      <c r="K61" s="97"/>
      <c r="L61" s="97"/>
      <c r="M61" s="97"/>
      <c r="N61" s="97"/>
      <c r="P61" s="94"/>
      <c r="Q61" s="94"/>
      <c r="R61" s="94"/>
    </row>
    <row r="62" spans="1:19">
      <c r="A62" s="97" t="s">
        <v>6643</v>
      </c>
      <c r="B62" s="97" t="s">
        <v>4219</v>
      </c>
      <c r="C62" s="97">
        <v>2838</v>
      </c>
      <c r="D62" s="97">
        <v>1302</v>
      </c>
      <c r="E62" s="97">
        <v>2838</v>
      </c>
      <c r="F62" s="97">
        <v>1320</v>
      </c>
      <c r="G62" s="93">
        <v>4540</v>
      </c>
      <c r="H62" s="93">
        <f>G62/2</f>
        <v>2270</v>
      </c>
      <c r="I62" s="97">
        <v>0</v>
      </c>
      <c r="J62" s="97"/>
      <c r="K62" s="97"/>
      <c r="L62" s="97"/>
      <c r="M62" s="97"/>
      <c r="N62" s="97"/>
      <c r="P62" s="94"/>
      <c r="Q62" s="94"/>
      <c r="R62" s="94"/>
    </row>
    <row r="63" spans="1:19">
      <c r="A63" s="20" t="s">
        <v>6643</v>
      </c>
      <c r="B63" s="20" t="s">
        <v>4219</v>
      </c>
      <c r="C63" s="20">
        <v>28000</v>
      </c>
      <c r="D63" s="20">
        <v>1302</v>
      </c>
      <c r="E63" s="20">
        <v>28000</v>
      </c>
      <c r="F63" s="20">
        <v>1345</v>
      </c>
      <c r="G63" s="93">
        <v>737130</v>
      </c>
      <c r="H63" s="93">
        <f>G63/2</f>
        <v>368565</v>
      </c>
      <c r="I63" s="20" t="s">
        <v>6649</v>
      </c>
      <c r="J63" s="20"/>
      <c r="K63" s="97"/>
      <c r="L63" s="97"/>
      <c r="M63" s="97"/>
      <c r="N63" s="97"/>
      <c r="P63" s="94"/>
      <c r="Q63" s="94"/>
      <c r="R63" s="94"/>
    </row>
    <row r="64" spans="1:19">
      <c r="A64" s="159" t="s">
        <v>6649</v>
      </c>
      <c r="B64" s="159" t="s">
        <v>4219</v>
      </c>
      <c r="C64" s="159">
        <v>28000</v>
      </c>
      <c r="D64" s="159">
        <v>1306.5</v>
      </c>
      <c r="E64" s="159">
        <v>28000</v>
      </c>
      <c r="F64" s="159">
        <v>1358.5</v>
      </c>
      <c r="G64" s="159">
        <v>985488</v>
      </c>
      <c r="H64" s="159">
        <f>G64/2</f>
        <v>492744</v>
      </c>
      <c r="I64" s="97" t="s">
        <v>6671</v>
      </c>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97"/>
      <c r="B66" s="97"/>
      <c r="C66" s="97"/>
      <c r="D66" s="97"/>
      <c r="E66" s="97"/>
      <c r="F66" s="97"/>
      <c r="G66" s="97"/>
      <c r="H66" s="97"/>
      <c r="I66" s="97"/>
      <c r="J66" s="97"/>
      <c r="K66" s="97"/>
      <c r="L66" s="97"/>
      <c r="M66" s="97"/>
      <c r="N66" s="97"/>
      <c r="O66" s="94"/>
      <c r="P66" s="94"/>
      <c r="Q66" s="94"/>
      <c r="R66" s="94"/>
      <c r="S66" s="94"/>
    </row>
    <row r="67" spans="1:20">
      <c r="A67" s="340" t="s">
        <v>6638</v>
      </c>
      <c r="B67" s="275" t="s">
        <v>4219</v>
      </c>
      <c r="C67" s="277">
        <v>1314</v>
      </c>
      <c r="D67" s="275">
        <v>8002</v>
      </c>
      <c r="E67" s="363" t="s">
        <v>1070</v>
      </c>
      <c r="F67" s="44">
        <v>10588000</v>
      </c>
      <c r="G67" s="363">
        <f t="shared" ref="G67" si="32">C67*D67*0.99114/(F67*1.0037158)</f>
        <v>0.98062784869151332</v>
      </c>
      <c r="H67" s="195">
        <f>C67/F67</f>
        <v>1.2410275783906308E-4</v>
      </c>
      <c r="I67" s="364">
        <f>$R$2/$R$7</f>
        <v>1.2504347826086958E-4</v>
      </c>
      <c r="J67" s="20">
        <f>I67/H67</f>
        <v>1.007580173383628</v>
      </c>
      <c r="K67" s="20">
        <f t="shared" ref="K67" si="33">(1/J67-1.0256)*100</f>
        <v>-3.3123146627798916</v>
      </c>
      <c r="L67" s="20"/>
      <c r="M67" s="20"/>
      <c r="N67" s="20">
        <f>1</f>
        <v>1</v>
      </c>
      <c r="O67" s="94"/>
      <c r="P67" s="94"/>
      <c r="Q67" s="94"/>
      <c r="R67" s="94"/>
      <c r="S67" s="94"/>
    </row>
    <row r="68" spans="1:20">
      <c r="A68" s="340"/>
      <c r="B68" s="275"/>
      <c r="C68" s="277"/>
      <c r="D68" s="275"/>
      <c r="E68" s="294"/>
      <c r="F68" s="312"/>
      <c r="G68" s="294"/>
      <c r="H68" s="341"/>
      <c r="I68" s="342"/>
      <c r="J68" s="20"/>
      <c r="K68" s="20"/>
      <c r="L68" s="20"/>
      <c r="M68" s="20"/>
      <c r="N68" s="20"/>
      <c r="O68" s="94"/>
      <c r="P68" s="94"/>
      <c r="Q68" s="94"/>
      <c r="R68" s="94"/>
      <c r="S68" s="94"/>
      <c r="T68" s="94"/>
    </row>
    <row r="69" spans="1:20">
      <c r="A69" s="340"/>
      <c r="B69" s="275"/>
      <c r="C69" s="277"/>
      <c r="D69" s="275"/>
      <c r="E69" s="294"/>
      <c r="F69" s="312"/>
      <c r="G69" s="294"/>
      <c r="H69" s="341"/>
      <c r="I69" s="342"/>
      <c r="J69" s="20"/>
      <c r="K69" s="20"/>
      <c r="L69" s="20"/>
      <c r="M69" s="20"/>
      <c r="N69" s="20"/>
      <c r="O69" s="94"/>
      <c r="P69" s="94"/>
      <c r="Q69" s="94"/>
      <c r="R69" s="94"/>
      <c r="S69" s="94"/>
      <c r="T69" s="94"/>
    </row>
    <row r="70" spans="1:20">
      <c r="A70" s="94"/>
      <c r="B70" s="94"/>
      <c r="C70" s="94"/>
      <c r="D70" s="94"/>
      <c r="E70" s="94"/>
      <c r="O70" s="94"/>
      <c r="P70" s="94"/>
      <c r="Q70" s="94"/>
      <c r="R70" s="94"/>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B73" s="94"/>
      <c r="C73" s="94"/>
      <c r="D73" s="94" t="s">
        <v>25</v>
      </c>
      <c r="E73" s="94"/>
      <c r="P73" s="94"/>
      <c r="Q73" s="94"/>
      <c r="R73" s="94"/>
      <c r="S73" s="94"/>
      <c r="T73" s="94"/>
    </row>
    <row r="74" spans="1:20">
      <c r="A74" s="94"/>
      <c r="B74" s="94"/>
      <c r="C74" s="94"/>
      <c r="D74" s="94"/>
      <c r="E74" s="94"/>
      <c r="O74" s="94"/>
      <c r="P74" s="94"/>
      <c r="Q74" s="94"/>
      <c r="R74" s="94"/>
      <c r="S74" s="94"/>
      <c r="T74" s="94"/>
    </row>
    <row r="75" spans="1:20">
      <c r="A75" s="94"/>
      <c r="B75" s="94"/>
      <c r="C75" s="94"/>
      <c r="D75" s="94"/>
      <c r="E75" s="94"/>
      <c r="O75" s="94"/>
      <c r="P75" s="94"/>
      <c r="Q75" s="94"/>
      <c r="R75" s="94"/>
      <c r="S75" s="94"/>
      <c r="T75" s="94"/>
    </row>
    <row r="76" spans="1:20">
      <c r="A76" s="94"/>
      <c r="J76" t="s">
        <v>25</v>
      </c>
      <c r="O76" s="94"/>
      <c r="P76" s="94"/>
      <c r="Q76" s="94"/>
      <c r="R76" s="94"/>
      <c r="S76" s="94"/>
      <c r="T76" s="94"/>
    </row>
    <row r="77" spans="1:20">
      <c r="A77" s="94"/>
      <c r="O77" s="94"/>
      <c r="P77" s="94"/>
      <c r="Q77" s="94"/>
      <c r="R77" s="94"/>
      <c r="S77" s="94"/>
      <c r="T77" s="94"/>
    </row>
    <row r="78" spans="1:20">
      <c r="A78" s="94"/>
      <c r="O78" s="94"/>
      <c r="P78" s="94"/>
      <c r="Q78" s="94"/>
      <c r="R78" s="94" t="s">
        <v>25</v>
      </c>
      <c r="S78" s="94"/>
      <c r="T78" s="94"/>
    </row>
    <row r="79" spans="1:20">
      <c r="A79" s="94"/>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c r="Q82" s="94" t="s">
        <v>25</v>
      </c>
      <c r="R82" s="94" t="s">
        <v>25</v>
      </c>
      <c r="S82" s="94"/>
      <c r="T82" s="94"/>
    </row>
    <row r="83" spans="1:26">
      <c r="A83" s="94"/>
      <c r="O83" s="94"/>
      <c r="P83" s="94" t="s">
        <v>25</v>
      </c>
      <c r="Q83" s="94" t="s">
        <v>25</v>
      </c>
      <c r="R83" s="94" t="s">
        <v>25</v>
      </c>
      <c r="S83" s="94"/>
      <c r="T83" s="94"/>
    </row>
    <row r="84" spans="1:26">
      <c r="A84" s="94"/>
      <c r="O84" s="94" t="s">
        <v>25</v>
      </c>
      <c r="P84" s="94" t="s">
        <v>25</v>
      </c>
      <c r="Q84" s="94" t="s">
        <v>25</v>
      </c>
      <c r="R84" s="94" t="s">
        <v>25</v>
      </c>
      <c r="S84" s="94"/>
      <c r="T84" s="94"/>
    </row>
    <row r="85" spans="1:26">
      <c r="A85" s="94"/>
      <c r="O85" s="94"/>
      <c r="P85" s="94"/>
      <c r="Q85" s="94" t="s">
        <v>25</v>
      </c>
      <c r="R85" s="112" t="s">
        <v>25</v>
      </c>
      <c r="S85" s="94" t="s">
        <v>25</v>
      </c>
      <c r="T85" s="94"/>
    </row>
    <row r="86" spans="1:26">
      <c r="A86" s="94"/>
      <c r="O86" s="94"/>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t="s">
        <v>25</v>
      </c>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P92" s="94" t="s">
        <v>25</v>
      </c>
      <c r="S92" s="94"/>
      <c r="T92" s="94"/>
    </row>
    <row r="93" spans="1:26">
      <c r="A93" s="94"/>
      <c r="O93" s="94"/>
      <c r="S93" s="94"/>
      <c r="T93" s="94"/>
    </row>
    <row r="94" spans="1:26">
      <c r="A94" s="94"/>
      <c r="P94" t="s">
        <v>25</v>
      </c>
    </row>
    <row r="95" spans="1:26">
      <c r="A95" s="94"/>
      <c r="R95" t="s">
        <v>25</v>
      </c>
    </row>
    <row r="96" spans="1:26">
      <c r="A96" s="94"/>
      <c r="O96" t="s">
        <v>25</v>
      </c>
      <c r="Z96" t="s">
        <v>25</v>
      </c>
    </row>
    <row r="97" spans="1:27">
      <c r="A97" s="94"/>
    </row>
    <row r="98" spans="1:27">
      <c r="A98" s="94"/>
      <c r="P98" t="s">
        <v>25</v>
      </c>
      <c r="Q98" t="s">
        <v>25</v>
      </c>
    </row>
    <row r="99" spans="1:27">
      <c r="A99" s="94"/>
      <c r="O99" t="s">
        <v>25</v>
      </c>
      <c r="P99" t="s">
        <v>25</v>
      </c>
      <c r="AA99" t="s">
        <v>25</v>
      </c>
    </row>
    <row r="100" spans="1:27">
      <c r="P100" t="s">
        <v>25</v>
      </c>
    </row>
    <row r="101" spans="1:27">
      <c r="O101" t="s">
        <v>25</v>
      </c>
      <c r="P101" t="s">
        <v>25</v>
      </c>
    </row>
    <row r="103" spans="1:27">
      <c r="P103" t="s">
        <v>25</v>
      </c>
      <c r="Q103" t="s">
        <v>25</v>
      </c>
    </row>
    <row r="104" spans="1:27">
      <c r="P104" t="s">
        <v>25</v>
      </c>
    </row>
    <row r="105" spans="1:27">
      <c r="P105" t="s">
        <v>25</v>
      </c>
      <c r="R105" t="s">
        <v>25</v>
      </c>
    </row>
    <row r="106" spans="1:27">
      <c r="O106" t="s">
        <v>25</v>
      </c>
      <c r="P106" t="s">
        <v>25</v>
      </c>
    </row>
    <row r="107" spans="1:27">
      <c r="P107" t="s">
        <v>25</v>
      </c>
      <c r="Z107" t="s">
        <v>25</v>
      </c>
    </row>
    <row r="111" spans="1:27">
      <c r="P111" t="s">
        <v>25</v>
      </c>
    </row>
    <row r="112" spans="1:27">
      <c r="P112" t="s">
        <v>25</v>
      </c>
    </row>
    <row r="114" spans="15:19">
      <c r="Q114" t="s">
        <v>25</v>
      </c>
    </row>
    <row r="115" spans="15:19" ht="27" customHeight="1">
      <c r="P115" t="s">
        <v>25</v>
      </c>
      <c r="R115" t="s">
        <v>25</v>
      </c>
    </row>
    <row r="116" spans="15:19">
      <c r="Q116" t="s">
        <v>25</v>
      </c>
      <c r="R116" t="s">
        <v>25</v>
      </c>
    </row>
    <row r="117" spans="15:19">
      <c r="P117" t="s">
        <v>25</v>
      </c>
      <c r="R117" s="288" t="s">
        <v>5668</v>
      </c>
    </row>
    <row r="118" spans="15:19">
      <c r="P118" t="s">
        <v>25</v>
      </c>
      <c r="Q118" t="s">
        <v>25</v>
      </c>
      <c r="R118" t="s">
        <v>25</v>
      </c>
    </row>
    <row r="119" spans="15:19">
      <c r="O119" t="s">
        <v>25</v>
      </c>
      <c r="P119" s="94" t="s">
        <v>25</v>
      </c>
      <c r="R119" t="s">
        <v>25</v>
      </c>
    </row>
    <row r="120" spans="15:19">
      <c r="R120" t="s">
        <v>25</v>
      </c>
    </row>
    <row r="121" spans="15:19">
      <c r="O121" s="94"/>
      <c r="P121" t="s">
        <v>25</v>
      </c>
    </row>
    <row r="122" spans="15:19">
      <c r="O122" s="94"/>
      <c r="P122" t="s">
        <v>25</v>
      </c>
    </row>
    <row r="123" spans="15:19">
      <c r="O123" s="94" t="s">
        <v>25</v>
      </c>
      <c r="R123" t="s">
        <v>25</v>
      </c>
      <c r="S123" t="s">
        <v>25</v>
      </c>
    </row>
    <row r="124" spans="15:19">
      <c r="O124" t="s">
        <v>25</v>
      </c>
      <c r="R124" t="s">
        <v>25</v>
      </c>
      <c r="S124" t="s">
        <v>25</v>
      </c>
    </row>
    <row r="125" spans="15:19">
      <c r="S125" t="s">
        <v>25</v>
      </c>
    </row>
    <row r="126" spans="15:19">
      <c r="S126" t="s">
        <v>25</v>
      </c>
    </row>
    <row r="127" spans="15:19">
      <c r="P127" s="94" t="s">
        <v>5516</v>
      </c>
      <c r="Q127" t="s">
        <v>25</v>
      </c>
      <c r="R127" t="s">
        <v>25</v>
      </c>
      <c r="S127" t="s">
        <v>25</v>
      </c>
    </row>
    <row r="128" spans="15:19">
      <c r="P128" s="94" t="s">
        <v>5517</v>
      </c>
      <c r="Q128" t="s">
        <v>25</v>
      </c>
    </row>
    <row r="129" spans="15:21">
      <c r="P129" s="94" t="s">
        <v>5518</v>
      </c>
      <c r="R129" t="s">
        <v>25</v>
      </c>
    </row>
    <row r="130" spans="15:21">
      <c r="O130" t="s">
        <v>25</v>
      </c>
      <c r="P130" s="94" t="s">
        <v>5519</v>
      </c>
      <c r="S130" t="s">
        <v>25</v>
      </c>
      <c r="T130" t="s">
        <v>25</v>
      </c>
    </row>
    <row r="131" spans="15:21">
      <c r="P131" s="94" t="s">
        <v>5520</v>
      </c>
      <c r="Q131" t="s">
        <v>25</v>
      </c>
      <c r="R131" t="s">
        <v>25</v>
      </c>
      <c r="S131" t="s">
        <v>25</v>
      </c>
    </row>
    <row r="132" spans="15:21">
      <c r="P132" s="94" t="s">
        <v>5521</v>
      </c>
      <c r="Q132" t="s">
        <v>25</v>
      </c>
      <c r="R132" t="s">
        <v>25</v>
      </c>
    </row>
    <row r="133" spans="15:21">
      <c r="O133" s="94"/>
      <c r="R133" t="s">
        <v>25</v>
      </c>
      <c r="S133" t="s">
        <v>25</v>
      </c>
    </row>
    <row r="134" spans="15:21">
      <c r="O134" s="94"/>
      <c r="P134" t="s">
        <v>25</v>
      </c>
      <c r="Q134" t="s">
        <v>25</v>
      </c>
    </row>
    <row r="135" spans="15:21">
      <c r="O135" s="94"/>
    </row>
    <row r="136" spans="15:21">
      <c r="O136" s="94"/>
      <c r="P136" t="s">
        <v>25</v>
      </c>
      <c r="R136" t="s">
        <v>25</v>
      </c>
    </row>
    <row r="137" spans="15:21">
      <c r="O137" t="s">
        <v>25</v>
      </c>
      <c r="S137" t="s">
        <v>25</v>
      </c>
    </row>
    <row r="138" spans="15:21">
      <c r="P138" t="s">
        <v>25</v>
      </c>
      <c r="R138" t="s">
        <v>25</v>
      </c>
    </row>
    <row r="139" spans="15:21">
      <c r="P139" t="s">
        <v>25</v>
      </c>
      <c r="U139" t="s">
        <v>25</v>
      </c>
    </row>
    <row r="140" spans="15:21">
      <c r="O140" t="s">
        <v>25</v>
      </c>
      <c r="R140" t="s">
        <v>25</v>
      </c>
    </row>
    <row r="141" spans="15:21">
      <c r="O141" s="94"/>
      <c r="R141" t="s">
        <v>25</v>
      </c>
      <c r="S141" t="s">
        <v>25</v>
      </c>
    </row>
    <row r="142" spans="15:21">
      <c r="O142" s="94" t="s">
        <v>25</v>
      </c>
      <c r="Q142" t="s">
        <v>25</v>
      </c>
      <c r="R142" t="s">
        <v>25</v>
      </c>
    </row>
    <row r="143" spans="15:21">
      <c r="R143" t="s">
        <v>25</v>
      </c>
    </row>
    <row r="144" spans="15:21">
      <c r="O144" t="s">
        <v>25</v>
      </c>
      <c r="P144" t="s">
        <v>25</v>
      </c>
    </row>
    <row r="145" spans="15:18">
      <c r="O145" t="s">
        <v>25</v>
      </c>
    </row>
    <row r="146" spans="15:18">
      <c r="O146" t="s">
        <v>25</v>
      </c>
    </row>
    <row r="150" spans="15:18">
      <c r="P150" t="s">
        <v>25</v>
      </c>
    </row>
    <row r="151" spans="15:18">
      <c r="Q151" t="s">
        <v>25</v>
      </c>
    </row>
    <row r="152" spans="15:18">
      <c r="Q152" t="s">
        <v>25</v>
      </c>
    </row>
    <row r="156" spans="15:18">
      <c r="R156" t="s">
        <v>25</v>
      </c>
    </row>
    <row r="158" spans="15:18">
      <c r="P158" t="s">
        <v>25</v>
      </c>
    </row>
    <row r="159" spans="15:18">
      <c r="P159" t="s">
        <v>25</v>
      </c>
    </row>
    <row r="161" spans="15:16">
      <c r="P161" t="s">
        <v>25</v>
      </c>
    </row>
    <row r="162" spans="15:16">
      <c r="O162" t="s">
        <v>25</v>
      </c>
    </row>
    <row r="177" spans="16:21">
      <c r="P177" t="s">
        <v>25</v>
      </c>
    </row>
    <row r="179" spans="16:21">
      <c r="S179" t="s">
        <v>25</v>
      </c>
    </row>
    <row r="188" spans="16:21">
      <c r="P188" t="s">
        <v>25</v>
      </c>
    </row>
    <row r="192" spans="16:21">
      <c r="U192" t="s">
        <v>25</v>
      </c>
    </row>
    <row r="195" spans="15:17">
      <c r="Q195" t="s">
        <v>25</v>
      </c>
    </row>
    <row r="197" spans="15:17">
      <c r="P197" t="s">
        <v>25</v>
      </c>
    </row>
    <row r="202" spans="15:17">
      <c r="O202" s="94"/>
    </row>
    <row r="203" spans="15:17">
      <c r="O203" s="94" t="s">
        <v>25</v>
      </c>
    </row>
    <row r="204" spans="15:17">
      <c r="O204" s="94"/>
      <c r="P204" t="s">
        <v>25</v>
      </c>
    </row>
    <row r="205" spans="15:17">
      <c r="O205" s="94" t="s">
        <v>25</v>
      </c>
    </row>
    <row r="206" spans="15:17">
      <c r="O206" s="94"/>
    </row>
    <row r="207" spans="15:17">
      <c r="O207" s="94"/>
    </row>
  </sheetData>
  <conditionalFormatting sqref="K50 K1:K3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3:K4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7:K69">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76" t="s">
        <v>6562</v>
      </c>
      <c r="C1" s="376"/>
      <c r="D1" s="376" t="s">
        <v>6563</v>
      </c>
      <c r="E1" s="376"/>
      <c r="G1" s="22"/>
      <c r="R1" s="97" t="s">
        <v>5525</v>
      </c>
      <c r="S1" s="97"/>
      <c r="T1" s="97" t="s">
        <v>935</v>
      </c>
      <c r="U1" s="97" t="s">
        <v>6553</v>
      </c>
      <c r="V1" s="97"/>
      <c r="W1" s="97" t="s">
        <v>935</v>
      </c>
      <c r="X1" s="97" t="s">
        <v>6554</v>
      </c>
      <c r="Y1" s="97"/>
      <c r="Z1" s="97" t="s">
        <v>938</v>
      </c>
      <c r="AA1" s="97" t="s">
        <v>5</v>
      </c>
      <c r="AB1" s="97" t="s">
        <v>6555</v>
      </c>
      <c r="AC1" s="357"/>
      <c r="AD1" s="357" t="s">
        <v>6556</v>
      </c>
    </row>
    <row r="2" spans="1:30">
      <c r="A2" s="344" t="s">
        <v>3625</v>
      </c>
      <c r="B2" s="344" t="s">
        <v>180</v>
      </c>
      <c r="C2" s="344" t="s">
        <v>6564</v>
      </c>
      <c r="D2" s="344" t="s">
        <v>6565</v>
      </c>
      <c r="E2" s="344" t="s">
        <v>6566</v>
      </c>
      <c r="F2" s="344" t="s">
        <v>5317</v>
      </c>
      <c r="G2" s="22"/>
      <c r="H2" s="344" t="s">
        <v>4118</v>
      </c>
      <c r="I2" s="344" t="s">
        <v>5</v>
      </c>
      <c r="R2" s="97" t="s">
        <v>5515</v>
      </c>
      <c r="S2" s="97" t="s">
        <v>6552</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6632</v>
      </c>
      <c r="C3" s="353" t="s">
        <v>6633</v>
      </c>
      <c r="D3" s="353">
        <v>0</v>
      </c>
      <c r="E3" s="353">
        <v>426136788</v>
      </c>
      <c r="F3" s="353">
        <v>1153060652</v>
      </c>
      <c r="G3" s="22"/>
      <c r="H3" s="112">
        <v>1230000</v>
      </c>
      <c r="I3" s="112">
        <f>H3/2</f>
        <v>615000</v>
      </c>
      <c r="J3" s="356" t="s">
        <v>6635</v>
      </c>
      <c r="R3" s="273" t="s">
        <v>5747</v>
      </c>
      <c r="S3" s="355" t="s">
        <v>6631</v>
      </c>
      <c r="T3" s="273">
        <v>21532</v>
      </c>
      <c r="U3" s="273">
        <v>1859</v>
      </c>
      <c r="V3" s="275" t="s">
        <v>6559</v>
      </c>
      <c r="W3" s="275">
        <v>1187</v>
      </c>
      <c r="X3" s="275">
        <f t="shared" ref="X3:X9" si="0">T3*U3*0.99114/(W3*1.0037158)</f>
        <v>33299.467209851166</v>
      </c>
      <c r="Y3" s="275">
        <f t="shared" ref="Y3:Y9" si="1">T3/W3</f>
        <v>18.139848357203032</v>
      </c>
      <c r="Z3" s="93">
        <v>0</v>
      </c>
      <c r="AA3" s="93">
        <f t="shared" ref="AA3:AA9" si="2">Z3/2</f>
        <v>0</v>
      </c>
      <c r="AB3" s="97" t="s">
        <v>6548</v>
      </c>
      <c r="AC3" s="357"/>
      <c r="AD3" s="357"/>
    </row>
    <row r="4" spans="1:30" s="356" customFormat="1">
      <c r="A4" s="358">
        <v>3</v>
      </c>
      <c r="B4" s="358" t="s">
        <v>6632</v>
      </c>
      <c r="C4" s="358" t="s">
        <v>6634</v>
      </c>
      <c r="D4" s="358">
        <v>0</v>
      </c>
      <c r="E4" s="358">
        <v>259688196</v>
      </c>
      <c r="F4" s="358">
        <v>1412748848</v>
      </c>
      <c r="G4" s="22"/>
      <c r="H4" s="112"/>
      <c r="I4" s="112"/>
      <c r="R4" s="273" t="s">
        <v>5753</v>
      </c>
      <c r="S4" s="273" t="s">
        <v>6558</v>
      </c>
      <c r="T4" s="273">
        <v>22420.1</v>
      </c>
      <c r="U4" s="294">
        <v>1000</v>
      </c>
      <c r="V4" s="275" t="s">
        <v>6560</v>
      </c>
      <c r="W4" s="275">
        <v>1161</v>
      </c>
      <c r="X4" s="275">
        <f t="shared" si="0"/>
        <v>19069.072437793271</v>
      </c>
      <c r="Y4" s="275">
        <f t="shared" si="1"/>
        <v>19.311024978466836</v>
      </c>
      <c r="Z4" s="93">
        <v>19462210</v>
      </c>
      <c r="AA4" s="93">
        <f t="shared" si="2"/>
        <v>9731105</v>
      </c>
      <c r="AB4" s="97" t="s">
        <v>6542</v>
      </c>
      <c r="AC4" s="357"/>
      <c r="AD4" s="357"/>
    </row>
    <row r="5" spans="1:30">
      <c r="A5" s="354"/>
      <c r="B5" s="345" t="s">
        <v>6567</v>
      </c>
      <c r="C5" s="345" t="s">
        <v>6568</v>
      </c>
      <c r="D5" s="345">
        <v>0</v>
      </c>
      <c r="E5" s="345">
        <v>1545379960</v>
      </c>
      <c r="F5" s="345">
        <v>1545486874</v>
      </c>
      <c r="G5" s="22"/>
      <c r="H5" s="112">
        <f>(E5-D7)/10</f>
        <v>19462210.699999999</v>
      </c>
      <c r="I5" s="112">
        <f>H5/2</f>
        <v>9731105.3499999996</v>
      </c>
      <c r="R5" s="273" t="s">
        <v>5755</v>
      </c>
      <c r="S5" s="273" t="s">
        <v>6558</v>
      </c>
      <c r="T5" s="273">
        <v>23233.1</v>
      </c>
      <c r="U5" s="294">
        <v>1000</v>
      </c>
      <c r="V5" s="275" t="s">
        <v>6560</v>
      </c>
      <c r="W5" s="275">
        <v>1152</v>
      </c>
      <c r="X5" s="275">
        <f t="shared" si="0"/>
        <v>19914.936480069027</v>
      </c>
      <c r="Y5" s="275">
        <f t="shared" si="1"/>
        <v>20.167621527777776</v>
      </c>
      <c r="Z5" s="93">
        <v>0</v>
      </c>
      <c r="AA5" s="93">
        <f t="shared" si="2"/>
        <v>0</v>
      </c>
      <c r="AB5" s="97" t="s">
        <v>6542</v>
      </c>
      <c r="AC5" s="357"/>
      <c r="AD5" s="357"/>
    </row>
    <row r="6" spans="1:30">
      <c r="A6" s="344"/>
      <c r="B6" s="346" t="s">
        <v>6567</v>
      </c>
      <c r="C6" s="346" t="s">
        <v>6569</v>
      </c>
      <c r="D6" s="346">
        <v>0</v>
      </c>
      <c r="E6" s="346">
        <v>32194843</v>
      </c>
      <c r="F6" s="346">
        <v>1577681717</v>
      </c>
      <c r="G6" s="22"/>
      <c r="H6" s="112">
        <f>E6/10</f>
        <v>3219484.3</v>
      </c>
      <c r="I6" s="112">
        <f>H6/2</f>
        <v>1609742.15</v>
      </c>
      <c r="R6" s="273" t="s">
        <v>5757</v>
      </c>
      <c r="S6" s="273" t="s">
        <v>6558</v>
      </c>
      <c r="T6" s="273">
        <v>23900</v>
      </c>
      <c r="U6" s="294">
        <v>1000</v>
      </c>
      <c r="V6" s="275" t="s">
        <v>6561</v>
      </c>
      <c r="W6" s="275">
        <v>1153</v>
      </c>
      <c r="X6" s="275">
        <f t="shared" si="0"/>
        <v>20468.821398374203</v>
      </c>
      <c r="Y6" s="275">
        <f t="shared" si="1"/>
        <v>20.7285342584562</v>
      </c>
      <c r="Z6" s="93">
        <v>0</v>
      </c>
      <c r="AA6" s="93">
        <f t="shared" si="2"/>
        <v>0</v>
      </c>
      <c r="AB6" s="97" t="s">
        <v>6542</v>
      </c>
      <c r="AC6" s="357"/>
      <c r="AD6" s="357"/>
    </row>
    <row r="7" spans="1:30">
      <c r="A7" s="354"/>
      <c r="B7" s="345" t="s">
        <v>6567</v>
      </c>
      <c r="C7" s="345" t="s">
        <v>6570</v>
      </c>
      <c r="D7" s="345">
        <v>1350757853</v>
      </c>
      <c r="E7" s="345">
        <v>0</v>
      </c>
      <c r="F7" s="345">
        <v>226923864</v>
      </c>
      <c r="G7" s="22"/>
      <c r="H7" s="112"/>
      <c r="I7" s="112"/>
      <c r="R7" s="273" t="s">
        <v>5770</v>
      </c>
      <c r="S7" s="273" t="s">
        <v>6558</v>
      </c>
      <c r="T7" s="273">
        <v>22500</v>
      </c>
      <c r="U7" s="294">
        <v>2000</v>
      </c>
      <c r="V7" s="275" t="s">
        <v>6560</v>
      </c>
      <c r="W7" s="275">
        <v>1093</v>
      </c>
      <c r="X7" s="275">
        <f t="shared" si="0"/>
        <v>40655.246136679802</v>
      </c>
      <c r="Y7" s="275">
        <f t="shared" si="1"/>
        <v>20.585544373284538</v>
      </c>
      <c r="Z7" s="93">
        <v>0</v>
      </c>
      <c r="AA7" s="93">
        <f t="shared" si="2"/>
        <v>0</v>
      </c>
      <c r="AB7" s="97" t="s">
        <v>6542</v>
      </c>
      <c r="AC7" s="357"/>
      <c r="AD7" s="357"/>
    </row>
    <row r="8" spans="1:30" ht="30">
      <c r="A8" s="41">
        <v>1</v>
      </c>
      <c r="B8" s="346" t="s">
        <v>6571</v>
      </c>
      <c r="C8" s="346" t="s">
        <v>6572</v>
      </c>
      <c r="D8" s="346">
        <v>0</v>
      </c>
      <c r="E8" s="346">
        <v>417254126</v>
      </c>
      <c r="F8" s="346">
        <v>417260507</v>
      </c>
      <c r="G8" s="22" t="s">
        <v>6573</v>
      </c>
      <c r="H8" s="112"/>
      <c r="I8" s="112"/>
      <c r="R8" s="273" t="s">
        <v>6522</v>
      </c>
      <c r="S8" s="273" t="s">
        <v>6557</v>
      </c>
      <c r="T8" s="273">
        <v>23706</v>
      </c>
      <c r="U8" s="294">
        <v>1000</v>
      </c>
      <c r="V8" s="275" t="s">
        <v>4219</v>
      </c>
      <c r="W8" s="275">
        <v>1155</v>
      </c>
      <c r="X8" s="275">
        <f t="shared" si="0"/>
        <v>20267.516662882761</v>
      </c>
      <c r="Y8" s="275">
        <f t="shared" si="1"/>
        <v>20.524675324675325</v>
      </c>
      <c r="Z8" s="93">
        <v>0</v>
      </c>
      <c r="AA8" s="93">
        <f t="shared" si="2"/>
        <v>0</v>
      </c>
      <c r="AB8" s="97" t="s">
        <v>6542</v>
      </c>
      <c r="AC8" s="357"/>
      <c r="AD8" s="357"/>
    </row>
    <row r="9" spans="1:30">
      <c r="A9" s="41">
        <v>2</v>
      </c>
      <c r="B9" s="346" t="s">
        <v>6571</v>
      </c>
      <c r="C9" s="346" t="s">
        <v>6574</v>
      </c>
      <c r="D9" s="346">
        <v>417153593</v>
      </c>
      <c r="E9" s="346">
        <v>0</v>
      </c>
      <c r="F9" s="346">
        <v>106914</v>
      </c>
      <c r="G9" s="22"/>
      <c r="H9" s="112"/>
      <c r="I9" s="112"/>
      <c r="R9" s="60" t="s">
        <v>6522</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6528</v>
      </c>
      <c r="AC9" s="357"/>
      <c r="AD9" s="357" t="s">
        <v>25</v>
      </c>
    </row>
    <row r="10" spans="1:30">
      <c r="A10" s="41">
        <v>3</v>
      </c>
      <c r="B10" s="345" t="s">
        <v>6575</v>
      </c>
      <c r="C10" s="347" t="s">
        <v>6576</v>
      </c>
      <c r="D10" s="347">
        <v>0</v>
      </c>
      <c r="E10" s="347">
        <v>234963645</v>
      </c>
      <c r="F10" s="347">
        <v>235147671</v>
      </c>
      <c r="G10" s="22"/>
      <c r="H10" s="112"/>
      <c r="I10" s="112"/>
      <c r="R10" s="357"/>
      <c r="S10" s="357"/>
      <c r="T10" s="357"/>
      <c r="U10" s="357"/>
      <c r="V10" s="357"/>
      <c r="W10" s="357"/>
      <c r="X10" s="357"/>
      <c r="Y10" s="357"/>
      <c r="Z10" s="357"/>
    </row>
    <row r="11" spans="1:30">
      <c r="A11" s="346">
        <v>4</v>
      </c>
      <c r="B11" s="346" t="s">
        <v>6575</v>
      </c>
      <c r="C11" s="346" t="s">
        <v>6577</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6575</v>
      </c>
      <c r="C12" s="346" t="s">
        <v>6578</v>
      </c>
      <c r="D12" s="347">
        <v>605852453</v>
      </c>
      <c r="E12" s="347">
        <v>0</v>
      </c>
      <c r="F12" s="347">
        <v>6381</v>
      </c>
      <c r="G12" s="22" t="s">
        <v>6579</v>
      </c>
      <c r="H12" s="112"/>
      <c r="I12" s="112"/>
      <c r="R12" s="357"/>
      <c r="S12" s="357"/>
      <c r="T12" s="357"/>
      <c r="U12" s="357"/>
      <c r="V12" s="357"/>
      <c r="W12" s="357"/>
      <c r="X12" s="357"/>
      <c r="Y12" s="357"/>
      <c r="Z12" s="357"/>
    </row>
    <row r="13" spans="1:30">
      <c r="A13" s="41">
        <v>11</v>
      </c>
      <c r="B13" s="41" t="s">
        <v>6399</v>
      </c>
      <c r="C13" s="41" t="s">
        <v>6580</v>
      </c>
      <c r="D13" s="41">
        <v>88258180</v>
      </c>
      <c r="E13" s="41">
        <v>0</v>
      </c>
      <c r="F13" s="41">
        <v>184108</v>
      </c>
      <c r="G13" s="22" t="s">
        <v>6581</v>
      </c>
      <c r="H13" s="112"/>
      <c r="I13" s="112"/>
      <c r="R13" s="357"/>
      <c r="S13" s="357"/>
      <c r="T13" s="357"/>
      <c r="U13" s="357"/>
      <c r="V13" s="357"/>
      <c r="W13" s="357"/>
      <c r="X13" s="357"/>
      <c r="Y13" s="357"/>
      <c r="Z13" s="357"/>
    </row>
    <row r="14" spans="1:30">
      <c r="A14" s="348">
        <v>12</v>
      </c>
      <c r="B14" s="348" t="s">
        <v>6582</v>
      </c>
      <c r="C14" s="348" t="s">
        <v>6583</v>
      </c>
      <c r="D14" s="348">
        <v>0</v>
      </c>
      <c r="E14" s="348">
        <v>88371992</v>
      </c>
      <c r="F14" s="348">
        <v>88442288</v>
      </c>
      <c r="G14" s="22"/>
      <c r="H14" s="112"/>
      <c r="I14" s="112"/>
    </row>
    <row r="15" spans="1:30">
      <c r="A15" s="349">
        <v>15</v>
      </c>
      <c r="B15" s="345" t="s">
        <v>6584</v>
      </c>
      <c r="C15" s="349" t="s">
        <v>6585</v>
      </c>
      <c r="D15" s="349">
        <v>0</v>
      </c>
      <c r="E15" s="349">
        <v>446040000</v>
      </c>
      <c r="F15" s="349">
        <v>455337264</v>
      </c>
      <c r="G15" s="22"/>
      <c r="H15" s="112"/>
      <c r="I15" s="112"/>
    </row>
    <row r="16" spans="1:30">
      <c r="A16" s="41">
        <v>16</v>
      </c>
      <c r="B16" s="41" t="s">
        <v>6584</v>
      </c>
      <c r="C16" s="41" t="s">
        <v>6586</v>
      </c>
      <c r="D16" s="41">
        <v>0</v>
      </c>
      <c r="E16" s="41">
        <v>5458523</v>
      </c>
      <c r="F16" s="41">
        <v>460795787</v>
      </c>
      <c r="G16" s="22"/>
      <c r="H16" s="112"/>
      <c r="I16" s="112"/>
    </row>
    <row r="17" spans="1:9">
      <c r="A17" s="349">
        <v>17</v>
      </c>
      <c r="B17" s="345" t="s">
        <v>6584</v>
      </c>
      <c r="C17" s="349" t="s">
        <v>6587</v>
      </c>
      <c r="D17" s="349">
        <v>460784299</v>
      </c>
      <c r="E17" s="349">
        <v>0</v>
      </c>
      <c r="F17" s="349">
        <v>11488</v>
      </c>
      <c r="G17" s="22"/>
      <c r="H17" s="112"/>
      <c r="I17" s="112"/>
    </row>
    <row r="18" spans="1:9">
      <c r="A18" s="350">
        <v>19</v>
      </c>
      <c r="B18" s="345" t="s">
        <v>6588</v>
      </c>
      <c r="C18" s="350" t="s">
        <v>6589</v>
      </c>
      <c r="D18" s="350">
        <v>0</v>
      </c>
      <c r="E18" s="350">
        <v>236896800</v>
      </c>
      <c r="F18" s="350">
        <v>247051542</v>
      </c>
      <c r="G18" s="22"/>
      <c r="H18" s="112"/>
      <c r="I18" s="112"/>
    </row>
    <row r="19" spans="1:9">
      <c r="A19" s="350">
        <v>22</v>
      </c>
      <c r="B19" s="345" t="s">
        <v>6588</v>
      </c>
      <c r="C19" s="350" t="s">
        <v>6590</v>
      </c>
      <c r="D19" s="350">
        <v>244418699</v>
      </c>
      <c r="E19" s="350">
        <v>0</v>
      </c>
      <c r="F19" s="350">
        <v>8048350</v>
      </c>
      <c r="G19" s="22"/>
      <c r="H19" s="112"/>
      <c r="I19" s="112"/>
    </row>
    <row r="20" spans="1:9">
      <c r="A20" s="351">
        <v>23</v>
      </c>
      <c r="B20" s="345" t="s">
        <v>6591</v>
      </c>
      <c r="C20" s="351" t="s">
        <v>6592</v>
      </c>
      <c r="D20" s="351">
        <v>0</v>
      </c>
      <c r="E20" s="351">
        <v>230286491</v>
      </c>
      <c r="F20" s="351">
        <v>238422914</v>
      </c>
      <c r="G20" s="22"/>
      <c r="H20" s="112"/>
      <c r="I20" s="112"/>
    </row>
    <row r="21" spans="1:9">
      <c r="A21" s="351">
        <v>24</v>
      </c>
      <c r="B21" s="345" t="s">
        <v>6591</v>
      </c>
      <c r="C21" s="351" t="s">
        <v>6593</v>
      </c>
      <c r="D21" s="351">
        <v>228268172</v>
      </c>
      <c r="E21" s="351">
        <v>0</v>
      </c>
      <c r="F21" s="351">
        <v>10154742</v>
      </c>
      <c r="G21" s="22"/>
      <c r="H21" s="112"/>
      <c r="I21" s="112"/>
    </row>
    <row r="22" spans="1:9">
      <c r="A22" s="352">
        <v>25</v>
      </c>
      <c r="B22" s="345" t="s">
        <v>6594</v>
      </c>
      <c r="C22" s="352" t="s">
        <v>6595</v>
      </c>
      <c r="D22" s="352">
        <v>0</v>
      </c>
      <c r="E22" s="352">
        <v>222228038</v>
      </c>
      <c r="F22" s="352">
        <v>230347490</v>
      </c>
      <c r="G22" s="22"/>
      <c r="H22" s="112"/>
      <c r="I22" s="112"/>
    </row>
    <row r="23" spans="1:9">
      <c r="A23" s="352">
        <v>26</v>
      </c>
      <c r="B23" s="345" t="s">
        <v>6594</v>
      </c>
      <c r="C23" s="352" t="s">
        <v>6596</v>
      </c>
      <c r="D23" s="352">
        <v>222211067</v>
      </c>
      <c r="E23" s="352">
        <v>0</v>
      </c>
      <c r="F23" s="352">
        <v>8136423</v>
      </c>
      <c r="G23" s="22"/>
      <c r="H23" s="112"/>
      <c r="I23" s="112"/>
    </row>
    <row r="24" spans="1:9">
      <c r="A24" s="353">
        <v>27</v>
      </c>
      <c r="B24" s="353" t="s">
        <v>6597</v>
      </c>
      <c r="C24" s="353" t="s">
        <v>6598</v>
      </c>
      <c r="D24" s="353">
        <v>0</v>
      </c>
      <c r="E24" s="353">
        <v>396757423</v>
      </c>
      <c r="F24" s="353">
        <v>404903981</v>
      </c>
      <c r="G24" s="22"/>
      <c r="H24" s="112"/>
      <c r="I24" s="112"/>
    </row>
    <row r="25" spans="1:9" ht="30">
      <c r="A25" s="353">
        <v>28</v>
      </c>
      <c r="B25" s="353" t="s">
        <v>6597</v>
      </c>
      <c r="C25" s="353" t="s">
        <v>6599</v>
      </c>
      <c r="D25" s="353">
        <v>396784529</v>
      </c>
      <c r="E25" s="353">
        <v>0</v>
      </c>
      <c r="F25" s="353">
        <v>8119452</v>
      </c>
      <c r="G25" s="22" t="s">
        <v>6600</v>
      </c>
      <c r="H25" s="112"/>
      <c r="I25" s="112"/>
    </row>
    <row r="26" spans="1:9">
      <c r="A26" s="41">
        <v>41</v>
      </c>
      <c r="B26" s="41" t="s">
        <v>6601</v>
      </c>
      <c r="C26" s="41" t="s">
        <v>6602</v>
      </c>
      <c r="D26" s="41">
        <v>9935956</v>
      </c>
      <c r="E26" s="41">
        <v>0</v>
      </c>
      <c r="F26" s="41">
        <v>4150875</v>
      </c>
      <c r="G26" s="22"/>
      <c r="H26" s="112"/>
      <c r="I26" s="112"/>
    </row>
    <row r="27" spans="1:9" ht="30">
      <c r="A27" s="348">
        <v>46</v>
      </c>
      <c r="B27" s="348" t="s">
        <v>6603</v>
      </c>
      <c r="C27" s="348" t="s">
        <v>6604</v>
      </c>
      <c r="D27" s="348">
        <v>13072</v>
      </c>
      <c r="E27" s="348">
        <v>0</v>
      </c>
      <c r="F27" s="348">
        <v>4639060</v>
      </c>
      <c r="G27" s="22" t="s">
        <v>6605</v>
      </c>
      <c r="H27" s="112"/>
      <c r="I27" s="112"/>
    </row>
    <row r="28" spans="1:9">
      <c r="A28" s="41">
        <v>59</v>
      </c>
      <c r="B28" s="41" t="s">
        <v>6606</v>
      </c>
      <c r="C28" s="41" t="s">
        <v>6607</v>
      </c>
      <c r="D28" s="41">
        <v>0</v>
      </c>
      <c r="E28" s="41">
        <v>2339234</v>
      </c>
      <c r="F28" s="41">
        <v>2355939</v>
      </c>
      <c r="G28" s="22"/>
      <c r="H28" s="112"/>
      <c r="I28" s="112"/>
    </row>
    <row r="29" spans="1:9">
      <c r="A29" s="349">
        <v>65</v>
      </c>
      <c r="B29" s="349" t="s">
        <v>6608</v>
      </c>
      <c r="C29" s="349" t="s">
        <v>6609</v>
      </c>
      <c r="D29" s="349">
        <v>0</v>
      </c>
      <c r="E29" s="349">
        <v>161458284</v>
      </c>
      <c r="F29" s="349">
        <v>379598720</v>
      </c>
      <c r="G29" s="22" t="s">
        <v>6610</v>
      </c>
      <c r="H29" s="112">
        <f>(E29-D31)/10</f>
        <v>987467.4</v>
      </c>
      <c r="I29" s="112">
        <f>H29/2</f>
        <v>493733.7</v>
      </c>
    </row>
    <row r="30" spans="1:9">
      <c r="A30" s="41">
        <v>66</v>
      </c>
      <c r="B30" s="41" t="s">
        <v>6608</v>
      </c>
      <c r="C30" s="41" t="s">
        <v>6611</v>
      </c>
      <c r="D30" s="41">
        <v>227863316</v>
      </c>
      <c r="E30" s="41">
        <v>0</v>
      </c>
      <c r="F30" s="41">
        <v>151735404</v>
      </c>
      <c r="G30" s="22"/>
    </row>
    <row r="31" spans="1:9">
      <c r="A31" s="349">
        <v>67</v>
      </c>
      <c r="B31" s="349" t="s">
        <v>6608</v>
      </c>
      <c r="C31" s="349" t="s">
        <v>6612</v>
      </c>
      <c r="D31" s="349">
        <v>151583610</v>
      </c>
      <c r="E31" s="349">
        <v>0</v>
      </c>
      <c r="F31" s="349">
        <v>151794</v>
      </c>
      <c r="G31" s="22"/>
    </row>
    <row r="32" spans="1:9">
      <c r="A32" s="41">
        <v>69</v>
      </c>
      <c r="B32" s="41" t="s">
        <v>6613</v>
      </c>
      <c r="C32" s="41" t="s">
        <v>6614</v>
      </c>
      <c r="D32" s="41">
        <v>86650200</v>
      </c>
      <c r="E32" s="41">
        <v>0</v>
      </c>
      <c r="F32" s="41">
        <v>420268653</v>
      </c>
      <c r="G32" s="22"/>
    </row>
    <row r="33" spans="1:9">
      <c r="A33" s="41">
        <v>71</v>
      </c>
      <c r="B33" s="41" t="s">
        <v>6613</v>
      </c>
      <c r="C33" s="41" t="s">
        <v>6615</v>
      </c>
      <c r="D33" s="41">
        <v>135477677</v>
      </c>
      <c r="E33" s="41">
        <v>0</v>
      </c>
      <c r="F33" s="41">
        <v>223507936</v>
      </c>
      <c r="G33" s="22"/>
    </row>
    <row r="34" spans="1:9">
      <c r="A34" s="41">
        <v>73</v>
      </c>
      <c r="B34" s="41" t="s">
        <v>6613</v>
      </c>
      <c r="C34" s="41" t="s">
        <v>6616</v>
      </c>
      <c r="D34" s="41">
        <v>69492638</v>
      </c>
      <c r="E34" s="41">
        <v>0</v>
      </c>
      <c r="F34" s="41">
        <v>153774186</v>
      </c>
      <c r="G34" s="22"/>
    </row>
    <row r="35" spans="1:9">
      <c r="A35" s="41">
        <v>79</v>
      </c>
      <c r="B35" s="41" t="s">
        <v>6617</v>
      </c>
      <c r="C35" s="41" t="s">
        <v>6618</v>
      </c>
      <c r="D35" s="41">
        <v>338468093</v>
      </c>
      <c r="E35" s="41">
        <v>0</v>
      </c>
      <c r="F35" s="41">
        <v>-338350050</v>
      </c>
      <c r="G35" s="22"/>
    </row>
    <row r="36" spans="1:9">
      <c r="A36" s="41">
        <v>80</v>
      </c>
      <c r="B36" s="41" t="s">
        <v>6619</v>
      </c>
      <c r="C36" s="41" t="s">
        <v>6620</v>
      </c>
      <c r="D36" s="41">
        <v>330081591</v>
      </c>
      <c r="E36" s="41">
        <v>0</v>
      </c>
      <c r="F36" s="41">
        <v>-330057613</v>
      </c>
      <c r="G36" s="22"/>
    </row>
    <row r="37" spans="1:9">
      <c r="A37" s="41">
        <v>81</v>
      </c>
      <c r="B37" s="41" t="s">
        <v>6619</v>
      </c>
      <c r="C37" s="41" t="s">
        <v>6621</v>
      </c>
      <c r="D37" s="41">
        <v>169824344</v>
      </c>
      <c r="E37" s="41">
        <v>0</v>
      </c>
      <c r="F37" s="41">
        <v>-499881957</v>
      </c>
      <c r="G37" s="22"/>
    </row>
    <row r="38" spans="1:9">
      <c r="A38" s="41">
        <v>82</v>
      </c>
      <c r="B38" s="41" t="s">
        <v>6622</v>
      </c>
      <c r="C38" s="41" t="s">
        <v>6623</v>
      </c>
      <c r="D38" s="41">
        <v>176497082</v>
      </c>
      <c r="E38" s="41">
        <v>0</v>
      </c>
      <c r="F38" s="41">
        <v>152229958</v>
      </c>
      <c r="G38" s="22"/>
    </row>
    <row r="39" spans="1:9">
      <c r="A39" s="41">
        <v>83</v>
      </c>
      <c r="B39" s="41" t="s">
        <v>6622</v>
      </c>
      <c r="C39" s="41" t="s">
        <v>6624</v>
      </c>
      <c r="D39" s="41">
        <v>152205980</v>
      </c>
      <c r="E39" s="41">
        <v>0</v>
      </c>
      <c r="F39" s="41">
        <v>23978</v>
      </c>
      <c r="G39" s="22"/>
    </row>
    <row r="40" spans="1:9">
      <c r="A40" s="41">
        <v>85</v>
      </c>
      <c r="B40" s="41" t="s">
        <v>6625</v>
      </c>
      <c r="C40" s="41" t="s">
        <v>6626</v>
      </c>
      <c r="D40" s="41">
        <v>170329802</v>
      </c>
      <c r="E40" s="41">
        <v>0</v>
      </c>
      <c r="F40" s="41">
        <v>329670198</v>
      </c>
      <c r="G40" s="22"/>
    </row>
    <row r="41" spans="1:9">
      <c r="A41" s="41">
        <v>86</v>
      </c>
      <c r="B41" s="41" t="s">
        <v>6627</v>
      </c>
      <c r="C41" s="41" t="s">
        <v>6628</v>
      </c>
      <c r="D41" s="41">
        <v>0</v>
      </c>
      <c r="E41" s="41">
        <v>0</v>
      </c>
      <c r="F41" s="41">
        <v>0</v>
      </c>
      <c r="H41" s="94">
        <f>SUM(H6:H40)</f>
        <v>4206951.7</v>
      </c>
      <c r="I41" s="94">
        <f>SUM(I6:I40)</f>
        <v>2103475.85</v>
      </c>
    </row>
    <row r="42" spans="1:9">
      <c r="A42" s="41">
        <v>87</v>
      </c>
      <c r="G42" s="22"/>
      <c r="H42" s="22" t="s">
        <v>6629</v>
      </c>
      <c r="I42" s="94" t="s">
        <v>6630</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6513</v>
      </c>
      <c r="I31" s="11">
        <v>284000</v>
      </c>
      <c r="J31" s="11" t="s">
        <v>476</v>
      </c>
    </row>
    <row r="32" spans="2:21">
      <c r="G32" s="11">
        <f t="shared" si="5"/>
        <v>99000</v>
      </c>
      <c r="H32" s="57" t="s">
        <v>780</v>
      </c>
      <c r="I32" s="11">
        <v>185000</v>
      </c>
      <c r="J32" s="11" t="s">
        <v>556</v>
      </c>
    </row>
    <row r="33" spans="6:23">
      <c r="G33" s="11">
        <f t="shared" si="5"/>
        <v>0</v>
      </c>
      <c r="H33" s="11" t="s">
        <v>6513</v>
      </c>
      <c r="I33" s="11">
        <v>284000</v>
      </c>
      <c r="J33" s="11" t="s">
        <v>563</v>
      </c>
    </row>
    <row r="34" spans="6:23">
      <c r="G34" s="11">
        <f t="shared" si="5"/>
        <v>0</v>
      </c>
      <c r="H34" s="11" t="s">
        <v>6513</v>
      </c>
      <c r="I34" s="11">
        <v>284000</v>
      </c>
      <c r="J34" s="11" t="s">
        <v>564</v>
      </c>
    </row>
    <row r="35" spans="6:23">
      <c r="G35" s="11">
        <f t="shared" si="5"/>
        <v>0</v>
      </c>
      <c r="H35" s="11" t="s">
        <v>6513</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6526</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6526</v>
      </c>
      <c r="I67" s="97">
        <v>50500</v>
      </c>
      <c r="J67" s="97" t="s">
        <v>6641</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1807</v>
      </c>
      <c r="C5" s="97"/>
      <c r="D5" s="97"/>
      <c r="F5" s="130">
        <v>0.2</v>
      </c>
      <c r="G5" s="130">
        <v>0.46</v>
      </c>
      <c r="I5" s="97"/>
      <c r="J5" s="97"/>
      <c r="L5" s="97" t="s">
        <v>3689</v>
      </c>
      <c r="M5" s="97">
        <v>6150</v>
      </c>
      <c r="U5" s="94"/>
      <c r="V5" s="94"/>
      <c r="W5" s="94"/>
      <c r="X5" s="94"/>
      <c r="Y5" s="94"/>
      <c r="Z5" s="94"/>
    </row>
    <row r="6" spans="1:35" ht="20.25" customHeight="1">
      <c r="A6" s="97" t="s">
        <v>1100</v>
      </c>
      <c r="B6" s="97">
        <v>25700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10935100.836977489</v>
      </c>
      <c r="C8" s="97">
        <f>B2*B4*B5/(B1*B3)+B7/B6</f>
        <v>425.49030494075839</v>
      </c>
      <c r="D8" s="97" t="s">
        <v>4231</v>
      </c>
      <c r="I8" s="97" t="s">
        <v>3865</v>
      </c>
      <c r="J8" s="97" t="s">
        <v>3661</v>
      </c>
      <c r="L8" s="97"/>
      <c r="M8" s="97"/>
      <c r="U8" s="94"/>
      <c r="V8" s="94"/>
      <c r="W8" s="94"/>
      <c r="X8" s="94"/>
      <c r="Y8" s="94"/>
      <c r="Z8" s="94"/>
    </row>
    <row r="9" spans="1:35">
      <c r="A9" s="67" t="s">
        <v>4229</v>
      </c>
      <c r="B9" s="93">
        <v>11400000</v>
      </c>
      <c r="C9" s="97"/>
      <c r="D9" s="97"/>
      <c r="I9" s="97" t="s">
        <v>3671</v>
      </c>
      <c r="J9" s="97" t="s">
        <v>3672</v>
      </c>
      <c r="L9" s="97"/>
      <c r="M9" s="97"/>
      <c r="R9" s="94"/>
      <c r="S9" s="94"/>
      <c r="T9" s="94"/>
      <c r="U9" s="94"/>
      <c r="V9" s="94"/>
      <c r="W9" s="94"/>
      <c r="X9" s="94"/>
      <c r="Y9" s="94"/>
      <c r="Z9" s="94"/>
    </row>
    <row r="10" spans="1:35">
      <c r="A10" s="67" t="s">
        <v>4230</v>
      </c>
      <c r="B10" s="93">
        <f>B9-B8</f>
        <v>464899.16302251071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77" t="s">
        <v>1073</v>
      </c>
      <c r="R21" s="377"/>
      <c r="S21" s="377"/>
      <c r="T21" s="377"/>
      <c r="U21" s="94"/>
      <c r="V21" s="94"/>
      <c r="W21" s="41" t="s">
        <v>4956</v>
      </c>
      <c r="X21" s="41">
        <v>9035210431</v>
      </c>
      <c r="Y21" s="41">
        <v>50</v>
      </c>
      <c r="Z21" s="41" t="s">
        <v>5218</v>
      </c>
      <c r="AA21" t="s">
        <v>4974</v>
      </c>
    </row>
    <row r="22" spans="5:35">
      <c r="O22" s="97"/>
      <c r="P22" s="97"/>
      <c r="Q22" s="377"/>
      <c r="R22" s="377"/>
      <c r="S22" s="377"/>
      <c r="T22" s="377"/>
      <c r="U22" s="94"/>
      <c r="V22" s="94"/>
      <c r="W22" s="41" t="s">
        <v>5043</v>
      </c>
      <c r="X22" s="41">
        <v>9909620343</v>
      </c>
      <c r="Y22" s="41">
        <v>200</v>
      </c>
      <c r="Z22" s="41" t="s">
        <v>5219</v>
      </c>
      <c r="AA22" t="s">
        <v>5222</v>
      </c>
      <c r="AB22" s="41" t="s">
        <v>5230</v>
      </c>
    </row>
    <row r="23" spans="5:35" ht="15.75">
      <c r="O23" s="176"/>
      <c r="P23" s="97" t="s">
        <v>4069</v>
      </c>
      <c r="Q23" s="378" t="s">
        <v>1074</v>
      </c>
      <c r="R23" s="379" t="s">
        <v>1075</v>
      </c>
      <c r="S23" s="378" t="s">
        <v>1076</v>
      </c>
      <c r="T23" s="380" t="s">
        <v>1077</v>
      </c>
      <c r="W23" s="41" t="s">
        <v>5044</v>
      </c>
      <c r="X23" s="41">
        <v>9378807702</v>
      </c>
      <c r="Y23" s="41">
        <v>0</v>
      </c>
      <c r="Z23" s="41">
        <v>0</v>
      </c>
      <c r="AD23" t="s">
        <v>25</v>
      </c>
    </row>
    <row r="24" spans="5:35">
      <c r="O24" s="97"/>
      <c r="P24" s="97"/>
      <c r="Q24" s="378"/>
      <c r="R24" s="379"/>
      <c r="S24" s="378"/>
      <c r="T24" s="380"/>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8" t="s">
        <v>6642</v>
      </c>
      <c r="X31" s="358">
        <v>9199190185</v>
      </c>
      <c r="Y31" s="358">
        <v>195</v>
      </c>
      <c r="Z31" s="358" t="s">
        <v>5218</v>
      </c>
      <c r="AA31" s="94" t="s">
        <v>6462</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22200</v>
      </c>
      <c r="H3" s="115">
        <f>C3*G3</f>
        <v>19402800</v>
      </c>
    </row>
    <row r="4" spans="1:8">
      <c r="A4" s="97"/>
      <c r="B4" s="97" t="s">
        <v>4219</v>
      </c>
      <c r="C4" s="97">
        <v>295000</v>
      </c>
      <c r="D4" s="115">
        <v>148594302</v>
      </c>
      <c r="E4" s="115">
        <f>D4/C4</f>
        <v>503.70949830508476</v>
      </c>
      <c r="F4" s="115">
        <f>E4*1.01</f>
        <v>508.74659328813561</v>
      </c>
      <c r="G4" s="97">
        <f>'برنامه 5 ساله'!P33</f>
        <v>1435</v>
      </c>
      <c r="H4" s="115">
        <f>C4*G4</f>
        <v>423325000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451092061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22200</v>
      </c>
      <c r="H17" s="115">
        <f>C17*G17</f>
        <v>94993800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1435</v>
      </c>
      <c r="H19" s="115">
        <f>C19*G19</f>
        <v>18563160</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301115088</v>
      </c>
    </row>
    <row r="26" spans="1:8">
      <c r="D26" t="s">
        <v>5400</v>
      </c>
      <c r="E26" s="112">
        <f>'خرید خانه'!H10+'خرید خانه'!H23-'خرید خانه'!D10-'خرید خانه'!D23</f>
        <v>450507149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2021-08-03T09:23:14Z</dcterms:modified>
</cp:coreProperties>
</file>