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8"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4" i="18" l="1"/>
  <c r="L154" i="18"/>
  <c r="I134" i="18"/>
  <c r="G134" i="18"/>
  <c r="P29" i="18"/>
  <c r="P28" i="18"/>
  <c r="W497" i="18" l="1"/>
  <c r="W496"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5" i="18"/>
  <c r="W494" i="18"/>
  <c r="R149" i="60" l="1"/>
  <c r="S150" i="60"/>
  <c r="R145" i="60" l="1"/>
  <c r="S149" i="60"/>
  <c r="R144" i="60" l="1"/>
  <c r="S145" i="60"/>
  <c r="I26"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4" i="63"/>
  <c r="S142" i="60" l="1"/>
  <c r="R141" i="60"/>
  <c r="AA50" i="60"/>
  <c r="D40" i="63"/>
  <c r="D41" i="63"/>
  <c r="D39" i="63"/>
  <c r="R140" i="60" l="1"/>
  <c r="S141" i="60"/>
  <c r="D50" i="63"/>
  <c r="B54" i="63" s="1"/>
  <c r="J26" i="63"/>
  <c r="W493"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R135" i="60" l="1"/>
  <c r="S136" i="60"/>
  <c r="W491" i="18"/>
  <c r="W490" i="18"/>
  <c r="W489" i="18"/>
  <c r="G24" i="63"/>
  <c r="H24" i="63"/>
  <c r="J24" i="63" l="1"/>
  <c r="K24" i="63" s="1"/>
  <c r="R134" i="60"/>
  <c r="S135" i="60"/>
  <c r="W488" i="18"/>
  <c r="R133" i="60" l="1"/>
  <c r="S134" i="60"/>
  <c r="I23" i="63"/>
  <c r="H23" i="63"/>
  <c r="N24" i="63" s="1"/>
  <c r="I31" i="63"/>
  <c r="I32" i="63"/>
  <c r="I33" i="63"/>
  <c r="I34" i="63"/>
  <c r="I30" i="63"/>
  <c r="K26" i="63"/>
  <c r="I22" i="63"/>
  <c r="I21" i="63"/>
  <c r="H2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0" i="63"/>
  <c r="I9" i="63"/>
  <c r="I10" i="63"/>
  <c r="I11" i="63"/>
  <c r="I12" i="63"/>
  <c r="I13" i="63"/>
  <c r="I14" i="63"/>
  <c r="I15" i="63"/>
  <c r="I16" i="63"/>
  <c r="I17" i="63"/>
  <c r="I18" i="63"/>
  <c r="I19" i="63"/>
  <c r="I5" i="63"/>
  <c r="I6" i="63"/>
  <c r="I7" i="63"/>
  <c r="I8" i="63"/>
  <c r="I4" i="63"/>
  <c r="I2" i="63"/>
  <c r="I3" i="63"/>
  <c r="I1" i="63"/>
  <c r="R132" i="60" l="1"/>
  <c r="S133" i="60"/>
  <c r="J23" i="63"/>
  <c r="K23" i="63" s="1"/>
  <c r="G17" i="67"/>
  <c r="H17" i="67" s="1"/>
  <c r="J21" i="63"/>
  <c r="K21" i="63" s="1"/>
  <c r="R131" i="60" l="1"/>
  <c r="S132" i="60"/>
  <c r="W487" i="18"/>
  <c r="G23" i="63"/>
  <c r="R130" i="60" l="1"/>
  <c r="S131" i="60"/>
  <c r="W486" i="18"/>
  <c r="W485" i="18"/>
  <c r="N29" i="18"/>
  <c r="Q7" i="60"/>
  <c r="Q9" i="60"/>
  <c r="Q10" i="60"/>
  <c r="Q11" i="60"/>
  <c r="Q12" i="60"/>
  <c r="Q13" i="60"/>
  <c r="Q14" i="60"/>
  <c r="R129" i="60" l="1"/>
  <c r="S130" i="60"/>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48"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49" i="18"/>
  <c r="W395" i="18"/>
  <c r="R115" i="60" l="1"/>
  <c r="S116" i="60"/>
  <c r="S117" i="18"/>
  <c r="S115" i="60" l="1"/>
  <c r="R114" i="60"/>
  <c r="D2" i="60"/>
  <c r="I8" i="60"/>
  <c r="P8" i="60" s="1"/>
  <c r="I6" i="60"/>
  <c r="P6" i="60" s="1"/>
  <c r="J3" i="60"/>
  <c r="J4" i="60"/>
  <c r="J5" i="60"/>
  <c r="J2" i="60"/>
  <c r="F2" i="60"/>
  <c r="R113" i="60" l="1"/>
  <c r="S114" i="60"/>
  <c r="W474" i="18"/>
  <c r="T3" i="64"/>
  <c r="T4" i="64"/>
  <c r="T5" i="64"/>
  <c r="T6" i="64"/>
  <c r="T7" i="64"/>
  <c r="T2" i="64"/>
  <c r="R112" i="60" l="1"/>
  <c r="S113" i="60"/>
  <c r="H285" i="18"/>
  <c r="W473" i="18"/>
  <c r="W472" i="18"/>
  <c r="AL244" i="18"/>
  <c r="AL243" i="18" s="1"/>
  <c r="AL242" i="18" s="1"/>
  <c r="S112" i="60" l="1"/>
  <c r="R111" i="60"/>
  <c r="W471" i="18"/>
  <c r="R110" i="60" l="1"/>
  <c r="S111" i="60"/>
  <c r="W470" i="18"/>
  <c r="G19" i="63"/>
  <c r="H19" i="63"/>
  <c r="U2" i="63"/>
  <c r="R109" i="60" l="1"/>
  <c r="S110" i="60"/>
  <c r="J19" i="63"/>
  <c r="K19" i="63" s="1"/>
  <c r="G30" i="63"/>
  <c r="H30" i="63"/>
  <c r="J30" i="63" s="1"/>
  <c r="K30" i="63" s="1"/>
  <c r="V539" i="18"/>
  <c r="V538" i="18"/>
  <c r="V535" i="18"/>
  <c r="V537" i="18"/>
  <c r="V544" i="18"/>
  <c r="V536" i="18"/>
  <c r="R108" i="60" l="1"/>
  <c r="S109" i="60"/>
  <c r="X528" i="18"/>
  <c r="R312" i="18"/>
  <c r="R107" i="60" l="1"/>
  <c r="S108" i="60"/>
  <c r="W467" i="18"/>
  <c r="W468" i="18"/>
  <c r="W469" i="18"/>
  <c r="R106" i="60" l="1"/>
  <c r="S107" i="60"/>
  <c r="P22" i="18"/>
  <c r="R105" i="60" l="1"/>
  <c r="S106" i="60"/>
  <c r="W466" i="18"/>
  <c r="G20" i="63"/>
  <c r="H20" i="63"/>
  <c r="J20" i="63" l="1"/>
  <c r="K20" i="63" s="1"/>
  <c r="R104" i="60"/>
  <c r="S105" i="60"/>
  <c r="G18" i="63"/>
  <c r="H18" i="63"/>
  <c r="R103" i="60" l="1"/>
  <c r="S104" i="60"/>
  <c r="J18" i="63"/>
  <c r="K18" i="63" s="1"/>
  <c r="W465" i="18"/>
  <c r="R102" i="60" l="1"/>
  <c r="S103" i="60"/>
  <c r="W464" i="18"/>
  <c r="G17" i="63"/>
  <c r="H17" i="63"/>
  <c r="G16" i="63"/>
  <c r="H16" i="63"/>
  <c r="R101" i="60" l="1"/>
  <c r="S102" i="60"/>
  <c r="J16" i="63"/>
  <c r="K16" i="63" s="1"/>
  <c r="N17" i="63"/>
  <c r="J17" i="63"/>
  <c r="K17" i="63" s="1"/>
  <c r="O7" i="60"/>
  <c r="O9" i="60"/>
  <c r="O10" i="60"/>
  <c r="O11" i="60"/>
  <c r="O12" i="60"/>
  <c r="O13" i="60"/>
  <c r="O14" i="60"/>
  <c r="S101" i="60" l="1"/>
  <c r="R100" i="60"/>
  <c r="G48" i="10"/>
  <c r="S100" i="60" l="1"/>
  <c r="R99" i="60"/>
  <c r="G15" i="63"/>
  <c r="H15" i="63"/>
  <c r="R98" i="60" l="1"/>
  <c r="S99" i="60"/>
  <c r="J15" i="63"/>
  <c r="K15" i="63" s="1"/>
  <c r="N16" i="63"/>
  <c r="B59" i="60"/>
  <c r="B56" i="60"/>
  <c r="R97" i="60" l="1"/>
  <c r="S98" i="60"/>
  <c r="G14" i="63"/>
  <c r="H14" i="63"/>
  <c r="R96" i="60" l="1"/>
  <c r="S97" i="60"/>
  <c r="J14" i="63"/>
  <c r="K14" i="63" s="1"/>
  <c r="H22" i="63"/>
  <c r="J22" i="63" s="1"/>
  <c r="K22" i="63" s="1"/>
  <c r="G22" i="63"/>
  <c r="G21" i="63"/>
  <c r="W463" i="18"/>
  <c r="S96" i="60" l="1"/>
  <c r="R95" i="60"/>
  <c r="N15" i="63"/>
  <c r="N22" i="63"/>
  <c r="G12" i="63"/>
  <c r="H12" i="63"/>
  <c r="G13" i="63"/>
  <c r="H13" i="63"/>
  <c r="W462" i="18"/>
  <c r="G10" i="63"/>
  <c r="H10" i="63"/>
  <c r="G11" i="63"/>
  <c r="H11" i="63"/>
  <c r="R94" i="60" l="1"/>
  <c r="S95" i="60"/>
  <c r="N12" i="63"/>
  <c r="J12" i="63"/>
  <c r="K12" i="63" s="1"/>
  <c r="N13" i="63"/>
  <c r="J13" i="63"/>
  <c r="K13" i="63" s="1"/>
  <c r="N14" i="63"/>
  <c r="N11" i="63"/>
  <c r="J11" i="63"/>
  <c r="K11" i="63" s="1"/>
  <c r="J10" i="63"/>
  <c r="K10" i="63" s="1"/>
  <c r="W461" i="18"/>
  <c r="U503" i="18"/>
  <c r="S94" i="60" l="1"/>
  <c r="R93" i="60"/>
  <c r="V172" i="18"/>
  <c r="T168" i="18" s="1"/>
  <c r="W460" i="18"/>
  <c r="G9"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52" i="60"/>
  <c r="S89" i="60" l="1"/>
  <c r="R88" i="60"/>
  <c r="W455" i="18"/>
  <c r="R87" i="60" l="1"/>
  <c r="S88" i="60"/>
  <c r="W454" i="18"/>
  <c r="R86" i="60" l="1"/>
  <c r="S87" i="60"/>
  <c r="H9" i="63"/>
  <c r="J9" i="63" s="1"/>
  <c r="K9" i="63" s="1"/>
  <c r="R85" i="60" l="1"/>
  <c r="S86" i="60"/>
  <c r="N10" i="63"/>
  <c r="F49" i="60"/>
  <c r="G49" i="60" s="1"/>
  <c r="R84" i="60" l="1"/>
  <c r="S85" i="60"/>
  <c r="G32" i="63"/>
  <c r="H32" i="63"/>
  <c r="J32" i="63" s="1"/>
  <c r="K32" i="63" s="1"/>
  <c r="G33" i="63"/>
  <c r="H33" i="63"/>
  <c r="J33" i="63" s="1"/>
  <c r="G34" i="63"/>
  <c r="H34" i="63"/>
  <c r="J34" i="63" s="1"/>
  <c r="K34" i="63" s="1"/>
  <c r="G31" i="63"/>
  <c r="H31" i="63"/>
  <c r="J31" i="63" s="1"/>
  <c r="K31" i="63" s="1"/>
  <c r="W453" i="18"/>
  <c r="R83" i="60" l="1"/>
  <c r="S84" i="60"/>
  <c r="K33" i="63"/>
  <c r="Q11" i="63"/>
  <c r="N34" i="63"/>
  <c r="N32" i="63"/>
  <c r="N33" i="63"/>
  <c r="N31" i="63"/>
  <c r="R82" i="60" l="1"/>
  <c r="S83" i="60"/>
  <c r="W452" i="18"/>
  <c r="P44" i="18"/>
  <c r="G5" i="63"/>
  <c r="H5" i="63"/>
  <c r="G6" i="63"/>
  <c r="H6" i="63"/>
  <c r="J6" i="63" s="1"/>
  <c r="K6" i="63" s="1"/>
  <c r="G7" i="63"/>
  <c r="H7" i="63"/>
  <c r="G2" i="63"/>
  <c r="H2" i="63"/>
  <c r="J2" i="63" s="1"/>
  <c r="K2" i="63" s="1"/>
  <c r="G3" i="63"/>
  <c r="H3" i="63"/>
  <c r="R81" i="60" l="1"/>
  <c r="S82" i="60"/>
  <c r="J7" i="63"/>
  <c r="K7" i="63" s="1"/>
  <c r="N19"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42" i="18"/>
  <c r="W444" i="18"/>
  <c r="W443" i="18"/>
  <c r="W442" i="18"/>
  <c r="W441" i="18"/>
  <c r="W440" i="18"/>
  <c r="J468" i="52"/>
  <c r="O468" i="52"/>
  <c r="R74" i="60" l="1"/>
  <c r="S75" i="60"/>
  <c r="AM475" i="18"/>
  <c r="AL474" i="18"/>
  <c r="AL465" i="18"/>
  <c r="AM466" i="18"/>
  <c r="G4" i="63"/>
  <c r="H4" i="63"/>
  <c r="N18"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R64" i="60" l="1"/>
  <c r="S65" i="60"/>
  <c r="S64" i="60" l="1"/>
  <c r="R63" i="60"/>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52"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52" i="18"/>
  <c r="L152" i="18"/>
  <c r="W354" i="18"/>
  <c r="AL214" i="18" l="1"/>
  <c r="AM214" i="18" s="1"/>
  <c r="AM215" i="18"/>
  <c r="AM451" i="18"/>
  <c r="AL450" i="18"/>
  <c r="W353" i="18"/>
  <c r="AL449" i="18" l="1"/>
  <c r="AM450" i="18"/>
  <c r="W35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51" i="18"/>
  <c r="AL443" i="18" l="1"/>
  <c r="AM444" i="18"/>
  <c r="G106" i="18"/>
  <c r="G105" i="18"/>
  <c r="W350" i="18"/>
  <c r="J347" i="52"/>
  <c r="AM443" i="18" l="1"/>
  <c r="AL442" i="18"/>
  <c r="L146" i="18"/>
  <c r="M146" i="18"/>
  <c r="M145" i="18"/>
  <c r="L145"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D413" i="15" l="1"/>
  <c r="F414" i="15"/>
  <c r="D412" i="15" l="1"/>
  <c r="F413" i="15"/>
  <c r="W338" i="18"/>
  <c r="O301" i="52"/>
  <c r="F412" i="15" l="1"/>
  <c r="D411" i="15"/>
  <c r="D410" i="15" l="1"/>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2" i="18"/>
  <c r="N50"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6" i="18"/>
  <c r="G135" i="18" s="1"/>
  <c r="W280" i="18"/>
  <c r="O177" i="52"/>
  <c r="J177" i="52"/>
  <c r="M105" i="18" l="1"/>
  <c r="G136"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2" i="18"/>
  <c r="L107" i="18" l="1"/>
  <c r="N107" i="18" s="1"/>
  <c r="L109" i="18"/>
  <c r="N109" i="18" s="1"/>
  <c r="L108" i="18"/>
  <c r="N108" i="18" s="1"/>
  <c r="M112" i="18"/>
  <c r="AM331" i="18"/>
  <c r="AL330" i="18"/>
  <c r="L104" i="18"/>
  <c r="W212" i="18"/>
  <c r="W21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5"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1" i="18"/>
  <c r="R182" i="18" s="1"/>
  <c r="AM120" i="18" l="1"/>
  <c r="AL119" i="18"/>
  <c r="AM119" i="18" l="1"/>
  <c r="AL118" i="18"/>
  <c r="S87" i="18"/>
  <c r="S88" i="18" s="1"/>
  <c r="S89" i="18" s="1"/>
  <c r="R187" i="18"/>
  <c r="R185" i="18"/>
  <c r="D57" i="51"/>
  <c r="AL117" i="18" l="1"/>
  <c r="AM118" i="18"/>
  <c r="S90" i="18"/>
  <c r="S91" i="18" s="1"/>
  <c r="AM117" i="18" l="1"/>
  <c r="AL116" i="18"/>
  <c r="S92" i="18"/>
  <c r="S93" i="18" s="1"/>
  <c r="N31" i="18"/>
  <c r="R184"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7" i="18"/>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V156" i="18" l="1"/>
  <c r="V157" i="18"/>
  <c r="V155"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5" i="18" l="1"/>
  <c r="X155" i="18"/>
  <c r="W157" i="18"/>
  <c r="X157" i="18"/>
  <c r="W156" i="18"/>
  <c r="X156" i="18"/>
  <c r="S69" i="18"/>
  <c r="V68" i="18"/>
  <c r="X68" i="18" s="1"/>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137" i="18" s="1"/>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59" i="18"/>
  <c r="I137" i="18"/>
  <c r="I138" i="18"/>
  <c r="G138" i="18"/>
  <c r="L21" i="18"/>
  <c r="G301" i="20"/>
  <c r="I302" i="20"/>
  <c r="K302" i="20"/>
  <c r="J302" i="20"/>
  <c r="AL70" i="18"/>
  <c r="AM71" i="18"/>
  <c r="W69" i="18" l="1"/>
  <c r="X69" i="18"/>
  <c r="S71" i="18"/>
  <c r="V70" i="18"/>
  <c r="X169" i="18"/>
  <c r="X167" i="18"/>
  <c r="X16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S144" i="18"/>
  <c r="V143" i="18" l="1"/>
  <c r="W143" i="18" s="1"/>
  <c r="X143" i="18" l="1"/>
  <c r="V144" i="18"/>
  <c r="X144" i="18" s="1"/>
  <c r="S145" i="18"/>
  <c r="S146" i="18" s="1"/>
  <c r="W144" i="18" l="1"/>
  <c r="V145" i="18"/>
  <c r="S147" i="18" l="1"/>
  <c r="S148" i="18" s="1"/>
  <c r="X145" i="18"/>
  <c r="W145" i="18"/>
  <c r="V148" i="18" l="1"/>
  <c r="W148" i="18" s="1"/>
  <c r="S149" i="18"/>
  <c r="V149" i="18" s="1"/>
  <c r="V146" i="18"/>
  <c r="V147" i="18"/>
  <c r="X149" i="18" l="1"/>
  <c r="W149" i="18"/>
  <c r="X148" i="18"/>
  <c r="S150" i="18"/>
  <c r="W147" i="18"/>
  <c r="X147" i="18"/>
  <c r="W146" i="18"/>
  <c r="X146" i="18"/>
  <c r="S151" i="18" l="1"/>
  <c r="V150" i="18"/>
  <c r="V151" i="18" l="1"/>
  <c r="S152" i="18"/>
  <c r="W150" i="18"/>
  <c r="X150" i="18"/>
  <c r="X151" i="18"/>
  <c r="W151" i="18"/>
  <c r="V152" i="18" l="1"/>
  <c r="S153" i="18"/>
  <c r="V153" i="18" s="1"/>
  <c r="W153" i="18" l="1"/>
  <c r="X153" i="18"/>
  <c r="W152" i="18"/>
  <c r="X152" i="18"/>
</calcChain>
</file>

<file path=xl/sharedStrings.xml><?xml version="1.0" encoding="utf-8"?>
<sst xmlns="http://schemas.openxmlformats.org/spreadsheetml/2006/main" count="15652" uniqueCount="6569">
  <si>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</si>
  <si>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</si>
  <si>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</si>
  <si>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</si>
  <si>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</si>
  <si>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</si>
  <si>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</si>
  <si>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</si>
  <si>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</si>
  <si>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</si>
  <si>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</si>
  <si>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</si>
  <si>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</si>
  <si>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</si>
  <si>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</si>
  <si>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</si>
  <si>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</si>
  <si>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</si>
  <si>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</si>
  <si>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</si>
  <si>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</si>
  <si>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</si>
  <si>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</si>
  <si>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</si>
  <si>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</si>
  <si>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</si>
  <si>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</si>
  <si>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</si>
  <si>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</si>
  <si>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</si>
  <si>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</si>
  <si>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</si>
  <si>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</si>
  <si>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</si>
  <si>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</si>
  <si>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</si>
  <si>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</si>
  <si>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</si>
  <si>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</si>
  <si>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</si>
  <si>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</si>
  <si>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</si>
  <si>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</si>
  <si>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</si>
  <si>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</si>
  <si>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</si>
  <si>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</si>
  <si>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</si>
  <si>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</si>
  <si>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</si>
  <si>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</si>
  <si>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</si>
  <si>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</si>
  <si>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</si>
  <si>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</si>
  <si>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</si>
  <si>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</si>
  <si>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</si>
  <si>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</si>
  <si>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</si>
  <si>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</si>
  <si>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</si>
  <si>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</si>
  <si>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</si>
  <si>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</si>
  <si>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</si>
  <si>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</si>
  <si>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</si>
  <si>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</si>
  <si>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</si>
  <si>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</si>
  <si>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</si>
  <si>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</si>
  <si>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</si>
  <si>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</si>
  <si>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</si>
  <si>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</si>
  <si>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</si>
  <si>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</si>
  <si>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</si>
  <si>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</si>
  <si>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</si>
  <si>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</si>
  <si>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</si>
  <si>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</si>
  <si>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</si>
  <si>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</si>
  <si>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</si>
  <si>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</si>
  <si>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</si>
  <si>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</si>
  <si>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</si>
  <si>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</si>
  <si>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</si>
  <si>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</si>
  <si>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</si>
  <si>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</si>
  <si>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</si>
  <si>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</si>
  <si>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</si>
  <si>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</si>
  <si>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</si>
  <si>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</si>
  <si>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</si>
  <si>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</si>
  <si>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</si>
  <si>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</si>
  <si>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</si>
  <si>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</si>
  <si>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</si>
  <si>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</si>
  <si>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</si>
  <si>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</si>
  <si>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</si>
  <si>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</si>
  <si>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</si>
  <si>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</si>
  <si>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</si>
  <si>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</si>
  <si>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</si>
  <si>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</si>
  <si>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</si>
  <si>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</si>
  <si>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</si>
  <si>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</si>
  <si>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</si>
  <si>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</si>
  <si>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</si>
  <si>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</si>
  <si>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</si>
  <si>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</si>
  <si>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</si>
  <si>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</si>
  <si>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</si>
  <si>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</si>
  <si>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</si>
  <si>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</si>
  <si>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</si>
  <si>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</si>
  <si>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</si>
  <si>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</si>
  <si>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</si>
  <si>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</si>
  <si>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</si>
  <si>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</si>
  <si>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</si>
  <si>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</si>
  <si>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</si>
  <si>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</si>
  <si>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</si>
  <si>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</si>
  <si>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</si>
  <si>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</si>
  <si>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</si>
  <si>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</si>
  <si>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</si>
  <si>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</si>
  <si>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</si>
  <si>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</si>
  <si>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</si>
  <si>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</si>
  <si>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</si>
  <si>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</si>
  <si>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</si>
  <si>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</si>
  <si>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</si>
  <si>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</si>
  <si>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</si>
  <si>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</si>
  <si>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</si>
  <si>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</si>
  <si>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</si>
  <si>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</si>
  <si>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</si>
  <si>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</si>
  <si>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</si>
  <si>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</si>
  <si>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</si>
  <si>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</si>
  <si>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</si>
  <si>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</si>
  <si>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</si>
  <si>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</si>
  <si>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</si>
  <si>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</si>
  <si>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</si>
  <si>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</si>
  <si>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</si>
  <si>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</si>
  <si>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</si>
  <si>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</si>
  <si>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</si>
  <si>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</si>
  <si>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</si>
  <si>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</si>
  <si>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</si>
  <si>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</si>
  <si>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</si>
  <si>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</si>
  <si>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</si>
  <si>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</si>
  <si>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</si>
  <si>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</si>
  <si>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</si>
  <si>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</si>
  <si>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</si>
  <si>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</si>
  <si>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</si>
  <si>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</si>
  <si>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</si>
  <si>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</si>
  <si>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</si>
  <si>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</si>
  <si>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</si>
  <si>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</si>
  <si>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</si>
  <si>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</si>
  <si>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</si>
  <si>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</si>
  <si>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</si>
  <si>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</si>
  <si>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</si>
  <si>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</si>
  <si>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</si>
  <si>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</si>
  <si>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</si>
  <si>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</si>
  <si>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</si>
  <si>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</si>
  <si>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</si>
  <si>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</si>
  <si>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</si>
  <si>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</si>
  <si>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</si>
  <si>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</si>
  <si>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</si>
  <si>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</si>
  <si>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</si>
  <si>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</si>
  <si>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</si>
  <si>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</si>
  <si>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</si>
  <si>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</si>
  <si>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</si>
  <si>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</si>
  <si>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</si>
  <si>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</si>
  <si>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</si>
  <si>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</si>
  <si>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</si>
  <si>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</si>
  <si>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</si>
  <si>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</si>
  <si>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</si>
  <si>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</si>
  <si>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</si>
  <si>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</si>
  <si>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</si>
  <si>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</si>
  <si>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</si>
  <si>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</si>
  <si>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</si>
  <si>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</si>
  <si>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</si>
  <si>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</si>
  <si>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</si>
  <si>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</si>
  <si>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</si>
  <si>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</si>
  <si>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</si>
  <si>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</si>
  <si>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</si>
  <si>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</si>
  <si>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</si>
  <si>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</si>
  <si>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</si>
  <si>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</si>
  <si>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</si>
  <si>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</si>
  <si>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</si>
  <si>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</si>
  <si>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</si>
  <si>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</si>
  <si>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</si>
  <si>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</si>
  <si>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</si>
  <si>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</si>
  <si>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</si>
  <si>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</si>
  <si>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</si>
  <si>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</si>
  <si>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</si>
  <si>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</si>
  <si>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</si>
  <si>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</si>
  <si>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</si>
  <si>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</si>
  <si>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</si>
  <si>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</si>
  <si>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</si>
  <si>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</si>
  <si>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</si>
  <si>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</si>
  <si>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</si>
  <si>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</si>
  <si>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</si>
  <si>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</si>
  <si>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</si>
  <si>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</si>
  <si>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</si>
  <si>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</si>
  <si>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</si>
  <si>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</si>
  <si>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</si>
  <si>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</si>
  <si>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</si>
  <si>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</si>
  <si>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</si>
  <si>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</si>
  <si>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</si>
  <si>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</si>
  <si>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</si>
  <si>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</si>
  <si>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</si>
  <si>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</si>
  <si>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</si>
  <si>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</si>
  <si>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</si>
  <si>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</si>
  <si>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</si>
  <si>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</si>
  <si>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</si>
  <si>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</si>
  <si>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</si>
  <si>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</si>
  <si>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</si>
  <si>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</si>
  <si>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</si>
  <si>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</si>
  <si>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</si>
  <si>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</si>
  <si>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</si>
  <si>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</si>
  <si>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</si>
  <si>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</si>
  <si>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</si>
  <si>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</si>
  <si>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</si>
  <si>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</si>
  <si>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</si>
  <si>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</si>
  <si>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</si>
  <si>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</si>
  <si>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</si>
  <si>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</si>
  <si>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</si>
  <si>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</si>
  <si>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</si>
  <si>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</si>
  <si>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</si>
  <si>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</si>
  <si>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</si>
  <si>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</si>
  <si>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</si>
  <si>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</si>
  <si>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</si>
  <si>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</si>
  <si>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</si>
  <si>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</si>
  <si>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</si>
  <si>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</si>
  <si>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</si>
  <si>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</si>
  <si>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</si>
  <si>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</si>
  <si>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</si>
  <si>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</si>
  <si>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</si>
  <si>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</si>
  <si>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</si>
  <si>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</si>
  <si>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</si>
  <si>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</si>
  <si>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</si>
  <si>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</si>
  <si>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</si>
  <si>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</si>
  <si>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</si>
  <si>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</si>
  <si>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</si>
  <si>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</si>
  <si>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</si>
  <si>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</si>
  <si>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</si>
  <si>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</si>
  <si>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</si>
  <si>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</si>
  <si>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</si>
  <si>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</si>
  <si>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</si>
  <si>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</si>
  <si>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</si>
  <si>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</si>
  <si>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</si>
  <si>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</si>
  <si>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</si>
  <si>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</si>
  <si>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</si>
  <si>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</si>
  <si>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</si>
  <si>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</si>
  <si>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</si>
  <si>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</si>
  <si>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</si>
  <si>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</si>
  <si>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</si>
  <si>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</si>
  <si>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</si>
  <si>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</si>
  <si>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</si>
  <si>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</si>
  <si>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</si>
  <si>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</si>
  <si>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</si>
  <si>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</si>
  <si>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</si>
  <si>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</si>
  <si>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</si>
  <si>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</si>
  <si>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</si>
  <si>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</si>
  <si>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</si>
  <si>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</si>
  <si>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</si>
  <si>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</si>
  <si>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</si>
  <si>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</si>
  <si>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</si>
  <si>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</si>
  <si>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</si>
  <si>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</si>
  <si>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</si>
  <si>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</si>
  <si>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</si>
  <si>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</si>
  <si>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</si>
  <si>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</si>
  <si>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</si>
  <si>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</si>
  <si>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</si>
  <si>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</si>
  <si>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</si>
  <si>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</si>
  <si>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</si>
  <si>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</si>
  <si>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</si>
  <si>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</si>
  <si>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</si>
  <si>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</si>
  <si>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</si>
  <si>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</si>
  <si>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</si>
  <si>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</si>
  <si>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</si>
  <si>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</si>
  <si>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</si>
  <si>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</si>
  <si>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</si>
  <si>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</si>
  <si>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</si>
  <si>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</si>
  <si>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</si>
  <si>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</si>
  <si>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</si>
  <si>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</si>
  <si>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</si>
  <si>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</si>
  <si>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</si>
  <si>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</si>
  <si>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</si>
  <si>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</si>
  <si>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</si>
  <si>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</si>
  <si>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</si>
  <si>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</si>
  <si>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</si>
  <si>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</si>
  <si>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</si>
  <si>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</si>
  <si>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</si>
  <si>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</si>
  <si>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</si>
  <si>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</si>
  <si>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</si>
  <si>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</si>
  <si>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</si>
  <si>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</si>
  <si>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</si>
  <si>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</si>
  <si>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</si>
  <si>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</si>
  <si>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</si>
  <si>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</si>
  <si>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</si>
  <si>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</si>
  <si>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</si>
  <si>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</si>
  <si>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</si>
  <si>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</si>
  <si>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</si>
  <si>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</si>
  <si>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</si>
  <si>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</si>
  <si>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</si>
  <si>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</si>
  <si>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</si>
  <si>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</si>
  <si>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</si>
  <si>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</si>
  <si>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</si>
  <si>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</si>
  <si>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</si>
  <si>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</si>
  <si>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</si>
  <si>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</si>
  <si>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</si>
  <si>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</si>
  <si>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</si>
  <si>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</si>
  <si>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</si>
  <si>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</si>
  <si>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</si>
  <si>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</si>
  <si>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</si>
  <si>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</si>
  <si>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</si>
  <si>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</si>
  <si>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</si>
  <si>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</si>
  <si>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</si>
  <si>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</si>
  <si>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</si>
  <si>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</si>
  <si>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</si>
  <si>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</si>
  <si>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</si>
  <si>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</si>
  <si>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</si>
  <si>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</si>
  <si>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</si>
  <si>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</si>
  <si>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</si>
  <si>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</si>
  <si>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</si>
  <si>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</si>
  <si>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</si>
  <si>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</si>
  <si>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</si>
  <si>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</si>
  <si>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</si>
  <si>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</si>
  <si>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</si>
  <si>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</si>
  <si>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</si>
  <si>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</si>
  <si>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</si>
  <si>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</si>
  <si>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</si>
  <si>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</si>
  <si>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</si>
  <si>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</si>
  <si>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</si>
  <si>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</si>
  <si>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</si>
  <si>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</si>
  <si>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</si>
  <si>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</si>
  <si>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</si>
  <si>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</si>
  <si>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</si>
  <si>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</si>
  <si>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</si>
  <si>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</si>
  <si>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</si>
  <si>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</si>
  <si>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</si>
  <si>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</si>
  <si>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</si>
  <si>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</si>
  <si>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</si>
  <si>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</si>
  <si>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</si>
  <si>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</si>
  <si>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</si>
  <si>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</si>
  <si>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</si>
  <si>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</si>
  <si>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</si>
  <si>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</si>
  <si>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</si>
  <si>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</si>
  <si>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</si>
  <si>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</si>
  <si>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</si>
  <si>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</si>
  <si>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</si>
  <si>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</si>
  <si>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</si>
  <si>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</si>
  <si>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</si>
  <si>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</si>
  <si>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</si>
  <si>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</si>
  <si>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</si>
  <si>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</si>
  <si>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</si>
  <si>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</si>
  <si>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</si>
  <si>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</si>
  <si>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</si>
  <si>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</si>
  <si>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</si>
  <si>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</si>
  <si>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</si>
  <si>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</si>
  <si>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</si>
  <si>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</si>
  <si>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</si>
  <si>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</si>
  <si>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</si>
  <si>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</si>
  <si>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</si>
  <si>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</si>
  <si>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</si>
  <si>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</si>
  <si>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</si>
  <si>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</si>
  <si>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</si>
  <si>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</si>
  <si>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</si>
  <si>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</si>
  <si>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</si>
  <si>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</si>
  <si>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</si>
  <si>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</si>
  <si>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</si>
  <si>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</si>
  <si>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</si>
  <si>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</si>
  <si>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</si>
  <si>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</si>
  <si>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</si>
  <si>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</si>
  <si>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</si>
  <si>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</si>
  <si>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</si>
  <si>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</si>
  <si>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</si>
  <si>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</si>
  <si>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</si>
  <si>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</si>
  <si>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</si>
  <si>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</si>
  <si>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</si>
  <si>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</si>
  <si>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</si>
  <si>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</si>
  <si>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</si>
  <si>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</si>
  <si>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</si>
  <si>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</si>
  <si>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</si>
  <si>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</si>
  <si>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</si>
  <si>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</si>
  <si>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</si>
  <si>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</si>
  <si>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</si>
  <si>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</si>
  <si>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</si>
  <si>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</si>
  <si>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</si>
  <si>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</si>
  <si>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</si>
  <si>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</si>
  <si>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</si>
  <si>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</si>
  <si>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</si>
  <si>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</si>
  <si>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</si>
  <si>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</si>
  <si>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</si>
  <si>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</si>
  <si>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</si>
  <si>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</si>
  <si>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</si>
  <si>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</si>
  <si>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</si>
  <si>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</si>
  <si>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</si>
  <si>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</si>
  <si>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</si>
  <si>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</si>
  <si>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</si>
  <si>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</si>
  <si>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</si>
  <si>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</si>
  <si>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</si>
  <si>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</si>
  <si>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</si>
  <si>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</si>
  <si>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</si>
  <si>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</si>
  <si>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</si>
  <si>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</si>
  <si>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</si>
  <si>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</si>
  <si>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</si>
  <si>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</si>
  <si>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</si>
  <si>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</si>
  <si>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</si>
  <si>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</si>
  <si>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</si>
  <si>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</si>
  <si>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</si>
  <si>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</si>
  <si>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</si>
  <si>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</si>
  <si>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</si>
  <si>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</si>
  <si>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</si>
  <si>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</si>
  <si>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</si>
  <si>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</si>
  <si>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</si>
  <si>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</si>
  <si>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</si>
  <si>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</si>
  <si>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</si>
  <si>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</si>
  <si>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</si>
  <si>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</si>
  <si>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</si>
  <si>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</si>
  <si>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</si>
  <si>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</si>
  <si>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</si>
  <si>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</si>
  <si>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</si>
  <si>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</si>
  <si>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</si>
  <si>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</si>
  <si>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</si>
  <si>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</si>
  <si>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</si>
  <si>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</si>
  <si>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</si>
  <si>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</si>
  <si>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</si>
  <si>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</si>
  <si>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</si>
  <si>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</si>
  <si>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</si>
  <si>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</si>
  <si>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</si>
  <si>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</si>
  <si>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</si>
  <si>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</si>
  <si>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</si>
  <si>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</si>
  <si>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</si>
  <si>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</si>
  <si>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</si>
  <si>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</si>
  <si>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</si>
  <si>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</si>
  <si>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</si>
  <si>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</si>
  <si>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</si>
  <si>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</si>
  <si>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</si>
  <si>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</si>
  <si>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</si>
  <si>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</si>
  <si>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</si>
  <si>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</si>
  <si>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</si>
  <si>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</si>
  <si>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</si>
  <si>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</si>
  <si>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</si>
  <si>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</si>
  <si>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</si>
  <si>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</si>
  <si>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</si>
  <si>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</si>
  <si>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</si>
  <si>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</si>
  <si>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</si>
  <si>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</si>
  <si>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</si>
  <si>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</si>
  <si>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</si>
  <si>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</si>
  <si>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</si>
  <si>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</si>
  <si>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</si>
  <si>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</si>
  <si>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</si>
  <si>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</si>
  <si>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</si>
  <si>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</si>
  <si>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</si>
  <si>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</si>
  <si>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</si>
  <si>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</si>
  <si>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</si>
  <si>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</si>
  <si>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</si>
  <si>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</si>
  <si>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</si>
  <si>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</si>
  <si>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</si>
  <si>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</si>
  <si>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</si>
  <si>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</si>
  <si>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</si>
  <si>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</si>
  <si>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</si>
  <si>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</si>
  <si>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</si>
  <si>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</si>
  <si>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</si>
  <si>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</si>
  <si>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</si>
  <si>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</si>
  <si>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</si>
  <si>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</si>
  <si>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</si>
  <si>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</si>
  <si>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</si>
  <si>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</si>
  <si>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</si>
  <si>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</si>
  <si>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</si>
  <si>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</si>
  <si>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</si>
  <si>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</si>
  <si>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</si>
  <si>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</si>
  <si>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</si>
  <si>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</si>
  <si>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</si>
  <si>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</si>
  <si>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</si>
  <si>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</si>
  <si>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</si>
  <si>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</si>
  <si>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</si>
  <si>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</si>
  <si>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</si>
  <si>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</si>
  <si>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</si>
  <si>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</si>
  <si>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</si>
  <si>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</si>
  <si>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</si>
  <si>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</si>
  <si>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</si>
  <si>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</si>
  <si>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</si>
  <si>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</si>
  <si>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</si>
  <si>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</si>
  <si>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</si>
  <si>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</si>
  <si>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</si>
  <si>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</si>
  <si>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</si>
  <si>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</si>
  <si>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</si>
  <si>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</si>
  <si>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</si>
  <si>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</si>
  <si>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</si>
  <si>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</si>
  <si>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</si>
  <si>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</si>
  <si>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</si>
  <si>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</si>
  <si>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</si>
  <si>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</si>
  <si>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</si>
  <si>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</si>
  <si>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</si>
  <si>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</si>
  <si>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</si>
  <si>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</si>
  <si>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</si>
  <si>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</si>
  <si>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</si>
  <si>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</si>
  <si>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</si>
  <si>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</si>
  <si>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</si>
  <si>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</si>
  <si>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</si>
  <si>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</si>
  <si>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</si>
  <si>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</si>
  <si>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</si>
  <si>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</si>
  <si>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</si>
  <si>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</si>
  <si>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</si>
  <si>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</si>
  <si>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</si>
  <si>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</si>
  <si>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</si>
  <si>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</si>
  <si>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</si>
  <si>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</si>
  <si>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</si>
  <si>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</si>
  <si>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</si>
  <si>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</si>
  <si>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</si>
  <si>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</si>
  <si>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</si>
  <si>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</si>
  <si>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</si>
  <si>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</si>
  <si>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</si>
  <si>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</si>
  <si>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</si>
  <si>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</si>
  <si>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</si>
  <si>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</si>
  <si>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</si>
  <si>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</si>
  <si>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</si>
  <si>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</si>
  <si>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</si>
  <si>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</si>
  <si>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</si>
  <si>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</si>
  <si>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</si>
  <si>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</si>
  <si>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</si>
  <si>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</si>
  <si>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</si>
  <si>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</si>
  <si>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</si>
  <si>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</si>
  <si>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</si>
  <si>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</si>
  <si>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</si>
  <si>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</si>
  <si>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</si>
  <si>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</si>
  <si>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</si>
  <si>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</si>
  <si>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</si>
  <si>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</si>
  <si>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</si>
  <si>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</si>
  <si>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</si>
  <si>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</si>
  <si>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</si>
  <si>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</si>
  <si>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</si>
  <si>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</si>
  <si>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</si>
  <si>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</si>
  <si>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</si>
  <si>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</si>
  <si>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</si>
  <si>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</si>
  <si>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</si>
  <si>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</si>
  <si>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</si>
  <si>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</si>
  <si>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</si>
  <si>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</si>
  <si>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</si>
  <si>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</si>
  <si>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</si>
  <si>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</si>
  <si>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</si>
  <si>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</si>
  <si>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</si>
  <si>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</si>
  <si>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</si>
  <si>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</si>
  <si>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</si>
  <si>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</si>
  <si>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</si>
  <si>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</si>
  <si>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</si>
  <si>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</si>
  <si>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</si>
  <si>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</si>
  <si>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</si>
  <si>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</si>
  <si>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</si>
  <si>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</si>
  <si>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</si>
  <si>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</si>
  <si>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</si>
  <si>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</si>
  <si>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</si>
  <si>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</si>
  <si>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</si>
  <si>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</si>
  <si>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</si>
  <si>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</si>
  <si>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</si>
  <si>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</si>
  <si>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</si>
  <si>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</si>
  <si>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</si>
  <si>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</si>
  <si>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</si>
  <si>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</si>
  <si>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</si>
  <si>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</si>
  <si>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</si>
  <si>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</si>
  <si>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</si>
  <si>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</si>
  <si>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</si>
  <si>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</si>
  <si>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</si>
  <si>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</si>
  <si>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</si>
  <si>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</si>
  <si>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</si>
  <si>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</si>
  <si>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</si>
  <si>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</si>
  <si>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</si>
  <si>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</si>
  <si>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</si>
  <si>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</si>
  <si>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</si>
  <si>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</si>
  <si>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</si>
  <si>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</si>
  <si>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</si>
  <si>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</si>
  <si>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</si>
  <si>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</si>
  <si>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</si>
  <si>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</si>
  <si>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</si>
  <si>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</si>
  <si>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</si>
  <si>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</si>
  <si>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</si>
  <si>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</si>
  <si>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</si>
  <si>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</si>
  <si>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</si>
  <si>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</si>
  <si>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</si>
  <si>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</si>
  <si>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</si>
  <si>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</si>
  <si>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</si>
  <si>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</si>
  <si>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</si>
  <si>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</si>
  <si>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</si>
  <si>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</si>
  <si>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</si>
  <si>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</si>
  <si>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</si>
  <si>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</si>
  <si>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</si>
  <si>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</si>
  <si>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</si>
  <si>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</si>
  <si>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</si>
  <si>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</si>
  <si>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</si>
  <si>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</si>
  <si>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</si>
  <si>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</si>
  <si>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</si>
  <si>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</si>
  <si>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</si>
  <si>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</si>
  <si>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</si>
  <si>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</si>
  <si>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</si>
  <si>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</si>
  <si>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</si>
  <si>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</si>
  <si>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</si>
  <si>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</si>
  <si>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</si>
  <si>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</si>
  <si>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</si>
  <si>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</si>
  <si>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</si>
  <si>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</si>
  <si>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</si>
  <si>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</si>
  <si>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</si>
  <si>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</si>
  <si>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</si>
  <si>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</si>
  <si>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</si>
  <si>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</si>
  <si>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</si>
  <si>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</si>
  <si>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</si>
  <si>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</si>
  <si>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</si>
  <si>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</si>
  <si>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</si>
  <si>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</si>
  <si>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</si>
  <si>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</si>
  <si>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</si>
  <si>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</si>
  <si>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</si>
  <si>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</si>
  <si>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</si>
  <si>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</si>
  <si>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</si>
  <si>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</si>
  <si>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</si>
  <si>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</si>
  <si>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</si>
  <si>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</si>
  <si>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</si>
  <si>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</si>
  <si>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</si>
  <si>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</si>
  <si>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</si>
  <si>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</si>
  <si>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</si>
  <si>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</si>
  <si>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</si>
  <si>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</si>
  <si>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</si>
  <si>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</si>
  <si>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</si>
  <si>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</si>
  <si>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</si>
  <si>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</si>
  <si>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</si>
  <si>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</si>
  <si>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</si>
  <si>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</si>
  <si>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</si>
  <si>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</si>
  <si>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</si>
  <si>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</si>
  <si>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</si>
  <si>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</si>
  <si>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</si>
  <si>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</si>
  <si>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</si>
  <si>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</si>
  <si>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</si>
  <si>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</si>
  <si>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</si>
  <si>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</si>
  <si>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</si>
  <si>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</si>
  <si>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</si>
  <si>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</si>
  <si>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</si>
  <si>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</si>
  <si>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</si>
  <si>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</si>
  <si>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</si>
  <si>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</si>
  <si>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</si>
  <si>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</si>
  <si>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</si>
  <si>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</si>
  <si>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</si>
  <si>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</si>
  <si>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</si>
  <si>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</si>
  <si>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</si>
  <si>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</si>
  <si>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</si>
  <si>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</si>
  <si>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</si>
  <si>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</si>
  <si>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</si>
  <si>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</si>
  <si>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</si>
  <si>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</si>
  <si>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</si>
  <si>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</si>
  <si>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</si>
  <si>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</si>
  <si>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</si>
  <si>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</si>
  <si>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</si>
  <si>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</si>
  <si>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</si>
  <si>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</si>
  <si>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</si>
  <si>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</si>
  <si>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</si>
  <si>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</si>
  <si>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</si>
  <si>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</si>
  <si>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</si>
  <si>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</si>
  <si>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</si>
  <si>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</si>
  <si>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</si>
  <si>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</si>
  <si>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</si>
  <si>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</si>
  <si>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</si>
  <si>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</si>
  <si>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</si>
  <si>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</si>
  <si>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</si>
  <si>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</si>
  <si>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</si>
  <si>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</si>
  <si>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</si>
  <si>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</si>
  <si>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</si>
  <si>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</si>
  <si>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</si>
  <si>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</si>
  <si>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</si>
  <si>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</si>
  <si>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</si>
  <si>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</si>
  <si>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</si>
  <si>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</si>
  <si>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</si>
  <si>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</si>
  <si>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</si>
  <si>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</si>
  <si>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</si>
  <si>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</si>
  <si>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</si>
  <si>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</si>
  <si>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</si>
  <si>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</si>
  <si>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</si>
  <si>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</si>
  <si>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</si>
  <si>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</si>
  <si>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</si>
  <si>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</si>
  <si>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</si>
  <si>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</si>
  <si>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</si>
  <si>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</si>
  <si>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</si>
  <si>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</si>
  <si>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</si>
  <si>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</si>
  <si>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</si>
  <si>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</si>
  <si>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</si>
  <si>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</si>
  <si>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</si>
  <si>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</si>
  <si>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</si>
  <si>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</si>
  <si>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</si>
  <si>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</si>
  <si>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</si>
  <si>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</si>
  <si>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</si>
  <si>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</si>
  <si>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</si>
  <si>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</si>
  <si>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</si>
  <si>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</si>
  <si>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</si>
  <si>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</si>
  <si>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</si>
  <si>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</si>
  <si>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</si>
  <si>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</si>
  <si>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</si>
  <si>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</si>
  <si>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</si>
  <si>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</si>
  <si>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</si>
  <si>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</si>
  <si>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</si>
  <si>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</si>
  <si>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</si>
  <si>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</si>
  <si>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</si>
  <si>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</si>
  <si>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</si>
  <si>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</si>
  <si>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</si>
  <si>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</si>
  <si>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</si>
  <si>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</si>
  <si>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</si>
  <si>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</si>
  <si>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</si>
  <si>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</si>
  <si>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</si>
  <si>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</si>
  <si>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</si>
  <si>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</si>
  <si>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</si>
  <si>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</si>
  <si>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</si>
  <si>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</si>
  <si>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</si>
  <si>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</si>
  <si>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</si>
  <si>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</si>
  <si>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</si>
  <si>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</si>
  <si>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</si>
  <si>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</si>
  <si>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</si>
  <si>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</si>
  <si>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</si>
  <si>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</si>
  <si>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</si>
  <si>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</si>
  <si>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</si>
  <si>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</si>
  <si>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</si>
  <si>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</si>
  <si>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</si>
  <si>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</si>
  <si>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</si>
  <si>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</si>
  <si>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</si>
  <si>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</si>
  <si>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</si>
  <si>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</si>
  <si>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</si>
  <si>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</si>
  <si>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</si>
  <si>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</si>
  <si>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</si>
  <si>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</si>
  <si>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</si>
  <si>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</si>
  <si>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</si>
  <si>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</si>
  <si>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</si>
  <si>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</si>
  <si>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</si>
  <si>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</si>
  <si>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</si>
  <si>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</si>
  <si>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</si>
  <si>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</si>
  <si>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</si>
  <si>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</si>
  <si>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</si>
  <si>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</si>
  <si>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</si>
  <si>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</si>
  <si>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</si>
  <si>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</si>
  <si>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</si>
  <si>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</si>
  <si>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</si>
  <si>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</si>
  <si>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</si>
  <si>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</si>
  <si>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</si>
  <si>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</si>
  <si>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</si>
  <si>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</si>
  <si>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</si>
  <si>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</si>
  <si>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</si>
  <si>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</si>
  <si>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</si>
  <si>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</si>
  <si>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</si>
  <si>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</si>
  <si>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</si>
  <si>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</si>
  <si>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</si>
  <si>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</si>
  <si>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</si>
  <si>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</si>
  <si>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</si>
  <si>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</si>
  <si>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</si>
  <si>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</si>
  <si>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</si>
  <si>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</si>
  <si>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</si>
  <si>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</si>
  <si>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</si>
  <si>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</si>
  <si>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</si>
  <si>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</si>
  <si>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</si>
  <si>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</si>
  <si>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</si>
  <si>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</si>
  <si>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</si>
  <si>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</si>
  <si>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</si>
  <si>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</si>
  <si>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</si>
  <si>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</si>
  <si>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</si>
  <si>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</si>
  <si>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</si>
  <si>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</si>
  <si>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</si>
  <si>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</si>
  <si>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</si>
  <si>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</si>
  <si>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</si>
  <si>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</si>
  <si>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</si>
  <si>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</si>
  <si>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</si>
  <si>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</si>
  <si>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</si>
  <si>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</si>
  <si>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</si>
  <si>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</si>
  <si>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</si>
  <si>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</si>
  <si>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</si>
  <si>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</si>
  <si>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</si>
  <si>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</si>
  <si>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</si>
  <si>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</si>
  <si>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</si>
  <si>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</si>
  <si>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</si>
  <si>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</si>
  <si>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</si>
  <si>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</si>
  <si>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</si>
  <si>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</si>
  <si>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</si>
  <si>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</si>
  <si>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</si>
  <si>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</si>
  <si>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</si>
  <si>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</si>
  <si>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</si>
  <si>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</si>
  <si>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</si>
  <si>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</si>
  <si>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</si>
  <si>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</si>
  <si>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</si>
  <si>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</si>
  <si>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</si>
  <si>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</si>
  <si>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</si>
  <si>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</si>
  <si>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</si>
  <si>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</si>
  <si>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</si>
  <si>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</si>
  <si>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</si>
  <si>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</si>
  <si>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</si>
  <si>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</si>
  <si>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</si>
  <si>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</si>
  <si>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</si>
  <si>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</si>
  <si>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</si>
  <si>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</si>
  <si>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</si>
  <si>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</si>
  <si>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</si>
  <si>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</si>
  <si>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</si>
  <si>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</si>
  <si>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</si>
  <si>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</si>
  <si>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</si>
  <si>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</si>
  <si>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</si>
  <si>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</si>
  <si>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</si>
  <si>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</si>
  <si>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</si>
  <si>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</si>
  <si>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</si>
  <si>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</si>
  <si>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</si>
  <si>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</si>
  <si>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</si>
  <si>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</si>
  <si>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</si>
  <si>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</si>
  <si>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</si>
  <si>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</si>
  <si>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</si>
  <si>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</si>
  <si>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</si>
  <si>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</si>
  <si>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</si>
  <si>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</si>
  <si>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</si>
  <si>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</si>
  <si>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</si>
  <si>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</si>
  <si>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</si>
  <si>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</si>
  <si>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</si>
  <si>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</si>
  <si>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</si>
  <si>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</si>
  <si>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</si>
  <si>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</si>
  <si>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</si>
  <si>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</si>
  <si>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</si>
  <si>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</si>
  <si>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</si>
  <si>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</si>
  <si>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</si>
  <si>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</si>
  <si>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</si>
  <si>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</si>
  <si>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</si>
  <si>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</si>
  <si>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</si>
  <si>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</si>
  <si>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</si>
  <si>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</si>
  <si>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</si>
  <si>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</si>
  <si>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</si>
  <si>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</si>
  <si>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</si>
  <si>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</si>
  <si>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</si>
  <si>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</si>
  <si>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</si>
  <si>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</si>
  <si>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</si>
  <si>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</si>
  <si>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</si>
  <si>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</si>
  <si>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</si>
  <si>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</si>
  <si>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</si>
  <si>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</si>
  <si>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</si>
  <si>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</si>
  <si>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</si>
  <si>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</si>
  <si>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</si>
  <si>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</si>
  <si>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</si>
  <si>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</si>
  <si>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</si>
  <si>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</si>
  <si>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</si>
  <si>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</si>
  <si>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</si>
  <si>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</si>
  <si>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</si>
  <si>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</si>
  <si>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</si>
  <si>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</si>
  <si>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</si>
  <si>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</si>
  <si>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</si>
  <si>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</si>
  <si>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</si>
  <si>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</si>
  <si>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</si>
  <si>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</si>
  <si>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</si>
  <si>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</si>
  <si>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</si>
  <si>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</si>
  <si>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</si>
  <si>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</si>
  <si>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</si>
  <si>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</si>
  <si>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</si>
  <si>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</si>
  <si>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</si>
  <si>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</si>
  <si>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</si>
  <si>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</si>
  <si>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</si>
  <si>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</si>
  <si>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</si>
  <si>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</si>
  <si>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</si>
  <si>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</si>
  <si>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</si>
  <si>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</si>
  <si>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</si>
  <si>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</si>
  <si>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</si>
  <si>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</si>
  <si>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</si>
  <si>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</si>
  <si>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</si>
  <si>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</si>
  <si>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</si>
  <si>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</si>
  <si>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</si>
  <si>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</si>
  <si>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</si>
  <si>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</si>
  <si>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</si>
  <si>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</si>
  <si>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</si>
  <si>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</si>
  <si>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</si>
  <si>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</si>
  <si>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</si>
  <si>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</si>
  <si>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</si>
  <si>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</si>
  <si>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</si>
  <si>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</si>
  <si>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</si>
  <si>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</si>
  <si>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</si>
  <si>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</si>
  <si>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</si>
  <si>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</si>
  <si>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</si>
  <si>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</si>
  <si>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</si>
  <si>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</si>
  <si>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</si>
  <si>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</si>
  <si>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</si>
  <si>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</si>
  <si>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</si>
  <si>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</si>
  <si>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</si>
  <si>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</si>
  <si>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</si>
  <si>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</si>
  <si>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</si>
  <si>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</si>
  <si>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</si>
  <si>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</si>
  <si>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</si>
  <si>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</si>
  <si>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</si>
  <si>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</si>
  <si>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</si>
  <si>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</si>
  <si>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</si>
  <si>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</si>
  <si>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</si>
  <si>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</si>
  <si>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</si>
  <si>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</si>
  <si>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</si>
  <si>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</si>
  <si>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</si>
  <si>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</si>
  <si>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</si>
  <si>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</si>
  <si>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</si>
  <si>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</si>
  <si>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</si>
  <si>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</si>
  <si>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</si>
  <si>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</si>
  <si>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</si>
  <si>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</si>
  <si>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</si>
  <si>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</si>
  <si>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</si>
  <si>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</si>
  <si>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</si>
  <si>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</si>
  <si>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</si>
  <si>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</si>
  <si>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</si>
  <si>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</si>
  <si>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</si>
  <si>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</si>
  <si>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</si>
  <si>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</si>
  <si>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</si>
  <si>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</si>
  <si>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</si>
  <si>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</si>
  <si>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</si>
  <si>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</si>
  <si>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</si>
  <si>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</si>
  <si>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</si>
  <si>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</si>
  <si>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</si>
  <si>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</si>
  <si>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</si>
  <si>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</si>
  <si>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</si>
  <si>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</si>
  <si>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</si>
  <si>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</si>
  <si>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</si>
  <si>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</si>
  <si>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</si>
  <si>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</si>
  <si>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</si>
  <si>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</si>
  <si>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</si>
  <si>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</si>
  <si>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</si>
  <si>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</si>
  <si>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</si>
  <si>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</si>
  <si>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</si>
  <si>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</si>
  <si>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</si>
  <si>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</si>
  <si>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</si>
  <si>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</si>
  <si>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</si>
  <si>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</si>
  <si>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</si>
  <si>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</si>
  <si>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</si>
  <si>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</si>
  <si>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</si>
  <si>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</si>
  <si>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</si>
  <si>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</si>
  <si>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</si>
  <si>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</si>
  <si>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</si>
  <si>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</si>
  <si>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</si>
  <si>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</si>
  <si>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</si>
  <si>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</si>
  <si>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</si>
  <si>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</si>
  <si>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</si>
  <si>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</si>
  <si>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</si>
  <si>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</si>
  <si>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</si>
  <si>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</si>
  <si>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</si>
  <si>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</si>
  <si>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</si>
  <si>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</si>
  <si>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</si>
  <si>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</si>
  <si>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</si>
  <si>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</si>
  <si>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</si>
  <si>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</si>
  <si>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</si>
  <si>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</si>
  <si>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</si>
  <si>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</si>
  <si>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</si>
  <si>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</si>
  <si>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</si>
  <si>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</si>
  <si>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</si>
  <si>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</si>
  <si>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</si>
  <si>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</si>
  <si>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</si>
  <si>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</si>
  <si>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</si>
  <si>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</si>
  <si>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</si>
  <si>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</si>
  <si>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</si>
  <si>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</si>
  <si>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</si>
  <si>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</si>
  <si>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</si>
  <si>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</si>
  <si>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</si>
  <si>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</si>
  <si>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</si>
  <si>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</si>
  <si>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</si>
  <si>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</si>
  <si>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</si>
  <si>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</si>
  <si>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</si>
  <si>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</si>
  <si>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</si>
  <si>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</si>
  <si>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</si>
  <si>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</si>
  <si>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</si>
  <si>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</si>
  <si>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</si>
  <si>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</si>
  <si>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</si>
  <si>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</si>
  <si>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</si>
  <si>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</si>
  <si>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</si>
  <si>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</si>
  <si>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</si>
  <si>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</si>
  <si>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</si>
  <si>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</si>
  <si>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</si>
  <si>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</si>
  <si>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</si>
  <si>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</si>
  <si>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</si>
  <si>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</si>
  <si>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</si>
  <si>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</si>
  <si>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</si>
  <si>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</si>
  <si>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</si>
  <si>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</si>
  <si>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</si>
  <si>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</si>
  <si>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</si>
  <si>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</si>
  <si>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</si>
  <si>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</si>
  <si>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</si>
  <si>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</si>
  <si>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</si>
  <si>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</si>
  <si>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</si>
  <si>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</si>
  <si>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</si>
  <si>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</si>
  <si>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</si>
  <si>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</si>
  <si>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</si>
  <si>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</si>
  <si>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</si>
  <si>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</si>
  <si>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</si>
  <si>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</si>
  <si>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</si>
  <si>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</si>
  <si>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</si>
  <si>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</si>
  <si>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</si>
  <si>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</si>
  <si>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</si>
  <si>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</si>
  <si>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</si>
  <si>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</si>
  <si>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</si>
  <si>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</si>
  <si>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</si>
  <si>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</si>
  <si>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</si>
  <si>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</si>
  <si>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</si>
  <si>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</si>
  <si>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</si>
  <si>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</si>
  <si>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</si>
  <si>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</si>
  <si>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</si>
  <si>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</si>
  <si>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</si>
  <si>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</si>
  <si>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</si>
  <si>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</si>
  <si>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</si>
  <si>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</si>
  <si>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</si>
  <si>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</si>
  <si>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</si>
  <si>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</si>
  <si>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</si>
  <si>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</si>
  <si>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</si>
  <si>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</si>
  <si>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</si>
  <si>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</si>
  <si>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</si>
  <si>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</si>
  <si>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</si>
  <si>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</si>
  <si>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</si>
  <si>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</si>
  <si>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</si>
  <si>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</si>
  <si>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</si>
  <si>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</si>
  <si>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</si>
  <si>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</si>
  <si>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</si>
  <si>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</si>
  <si>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</si>
  <si>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</si>
  <si>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</si>
  <si>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</si>
  <si>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</si>
  <si>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</si>
  <si>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</si>
  <si>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</si>
  <si>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</si>
  <si>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</si>
  <si>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</si>
  <si>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</si>
  <si>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</si>
  <si>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</si>
  <si>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</si>
  <si>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</si>
  <si>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</si>
  <si>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</si>
  <si>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</si>
  <si>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</si>
  <si>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</si>
  <si>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</si>
  <si>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</si>
  <si>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</si>
  <si>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</si>
  <si>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</si>
  <si>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</si>
  <si>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</si>
  <si>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</si>
  <si>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</si>
  <si>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</si>
  <si>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</si>
  <si>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</si>
  <si>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</si>
  <si>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</si>
  <si>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</si>
  <si>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</si>
  <si>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</si>
  <si>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</si>
  <si>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</si>
  <si>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</si>
  <si>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</si>
  <si>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</si>
  <si>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</si>
  <si>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</si>
  <si>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</si>
  <si>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</si>
  <si>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</si>
  <si>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</si>
  <si>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</si>
  <si>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</si>
  <si>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</si>
  <si>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</si>
  <si>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</si>
  <si>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</si>
  <si>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</si>
  <si>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</si>
  <si>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</si>
  <si>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</si>
  <si>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</si>
  <si>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</si>
  <si>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</si>
  <si>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</si>
  <si>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</si>
  <si>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</si>
  <si>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</si>
  <si>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</si>
  <si>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</si>
  <si>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</si>
  <si>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</si>
  <si>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</si>
  <si>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</si>
  <si>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</si>
  <si>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</si>
  <si>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</si>
  <si>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</si>
  <si>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</si>
  <si>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</si>
  <si>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</si>
  <si>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</si>
  <si>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</si>
  <si>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</si>
  <si>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</si>
  <si>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</si>
  <si>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</si>
  <si>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</si>
  <si>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</si>
  <si>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</si>
  <si>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</si>
  <si>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</si>
  <si>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</si>
  <si>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</si>
  <si>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</si>
  <si>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</si>
  <si>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</si>
  <si>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</si>
  <si>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</si>
  <si>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</si>
  <si>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</si>
  <si>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</si>
  <si>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</si>
  <si>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</si>
  <si>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</si>
  <si>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</si>
  <si>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</si>
  <si>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</si>
  <si>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</si>
  <si>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</si>
  <si>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</si>
  <si>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</si>
  <si>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</si>
  <si>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</si>
  <si>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</si>
  <si>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</si>
  <si>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</si>
  <si>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</si>
  <si>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</si>
  <si>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</si>
  <si>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</si>
  <si>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</si>
  <si>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</si>
  <si>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</si>
  <si>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</si>
  <si>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</si>
  <si>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</si>
  <si>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</si>
  <si>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</si>
  <si>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</si>
  <si>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</si>
  <si>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</si>
  <si>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</si>
  <si>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</si>
  <si>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</si>
  <si>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</si>
  <si>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</si>
  <si>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</si>
  <si>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</si>
  <si>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</si>
  <si>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</si>
  <si>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</si>
  <si>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</si>
  <si>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</si>
  <si>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</si>
  <si>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</si>
  <si>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</si>
  <si>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</si>
  <si>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</si>
  <si>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</si>
  <si>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</si>
  <si>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</si>
  <si>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</si>
  <si>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</si>
  <si>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</si>
  <si>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</si>
  <si>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</si>
  <si>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</si>
  <si>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</si>
  <si>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</si>
  <si>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</si>
  <si>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</si>
  <si>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</si>
  <si>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</si>
  <si>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</si>
  <si>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</si>
  <si>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</si>
  <si>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</si>
  <si>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</si>
  <si>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</si>
  <si>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</si>
  <si>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</si>
  <si>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</si>
  <si>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</si>
  <si>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</si>
  <si>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</si>
  <si>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</si>
  <si>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</si>
  <si>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</si>
  <si>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</si>
  <si>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</si>
  <si>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</si>
  <si>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</si>
  <si>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</si>
  <si>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</si>
  <si>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</si>
  <si>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</si>
  <si>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</si>
  <si>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</si>
  <si>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</si>
  <si>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</si>
  <si>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</si>
  <si>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</si>
  <si>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</si>
  <si>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</si>
  <si>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</si>
  <si>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</si>
  <si>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</si>
  <si>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</si>
  <si>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</si>
  <si>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</si>
  <si>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</si>
  <si>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</si>
  <si>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</si>
  <si>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</si>
  <si>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</si>
  <si>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</si>
  <si>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</si>
  <si>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</si>
  <si>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</si>
  <si>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</si>
  <si>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</si>
  <si>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</si>
  <si>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</si>
  <si>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</si>
  <si>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</si>
  <si>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</si>
  <si>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</si>
  <si>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</si>
  <si>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</si>
  <si>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</si>
  <si>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</si>
  <si>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</si>
  <si>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</si>
  <si>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</si>
  <si>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</si>
  <si>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</si>
  <si>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</si>
  <si>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</si>
  <si>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</si>
  <si>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</si>
  <si>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</si>
  <si>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</si>
  <si>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</si>
  <si>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</si>
  <si>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</si>
  <si>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</si>
  <si>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</si>
  <si>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</si>
  <si>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</si>
  <si>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</si>
  <si>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</si>
  <si>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</si>
  <si>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</si>
  <si>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</si>
  <si>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</si>
  <si>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</si>
  <si>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</si>
  <si>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</si>
  <si>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</si>
  <si>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</si>
  <si>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</si>
  <si>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</si>
  <si>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</si>
  <si>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</si>
  <si>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</si>
  <si>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</si>
  <si>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</si>
  <si>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</si>
  <si>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</si>
  <si>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</si>
  <si>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</si>
  <si>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</si>
  <si>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</si>
  <si>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</si>
  <si>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</si>
  <si>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</si>
  <si>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</si>
  <si>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</si>
  <si>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</si>
  <si>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</si>
  <si>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</si>
  <si>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</si>
  <si>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</si>
  <si>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</si>
  <si>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</si>
  <si>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</si>
  <si>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</si>
  <si>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</si>
  <si>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</si>
  <si>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</si>
  <si>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</si>
  <si>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</si>
  <si>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</si>
  <si>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</si>
  <si>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</si>
  <si>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</si>
  <si>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</si>
  <si>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</si>
  <si>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</si>
  <si>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</si>
  <si>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</si>
  <si>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</si>
  <si>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</si>
  <si>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</si>
  <si>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</si>
  <si>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</si>
  <si>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</si>
  <si>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</si>
  <si>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</si>
  <si>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</si>
  <si>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</si>
  <si>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</si>
  <si>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</si>
  <si>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</si>
  <si>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</si>
  <si>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</si>
  <si>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</si>
  <si>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</si>
  <si>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</si>
  <si>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</si>
  <si>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</si>
  <si>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</si>
  <si>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</si>
  <si>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</si>
  <si>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</si>
  <si>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</si>
  <si>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</si>
  <si>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</si>
  <si>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</si>
  <si>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</si>
  <si>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</si>
  <si>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</si>
  <si>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</si>
  <si>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</si>
  <si>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</si>
  <si>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</si>
  <si>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</si>
  <si>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</si>
  <si>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</si>
  <si>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</si>
  <si>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</si>
  <si>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</si>
  <si>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</si>
  <si>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</si>
  <si>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</si>
  <si>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</si>
  <si>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</si>
  <si>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</si>
  <si>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</si>
  <si>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</si>
  <si>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</si>
  <si>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</si>
  <si>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</si>
  <si>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</si>
  <si>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</si>
  <si>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</si>
  <si>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</si>
  <si>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</si>
  <si>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</si>
  <si>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</si>
  <si>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</si>
  <si>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</si>
  <si>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</si>
  <si>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</si>
  <si>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</si>
  <si>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</si>
  <si>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</si>
  <si>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</si>
  <si>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</si>
  <si>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</si>
  <si>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</si>
  <si>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</si>
  <si>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</si>
  <si>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</si>
  <si>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</si>
  <si>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</si>
  <si>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</si>
  <si>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</si>
  <si>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</si>
  <si>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</si>
  <si>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</si>
  <si>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</si>
  <si>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</si>
  <si>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</si>
  <si>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</si>
  <si>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</si>
  <si>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</si>
  <si>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</si>
  <si>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</si>
  <si>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</si>
  <si>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</si>
  <si>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</si>
  <si>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</si>
  <si>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</si>
  <si>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</si>
  <si>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</si>
  <si>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</si>
  <si>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</si>
  <si>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</si>
  <si>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</si>
  <si>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</si>
  <si>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</si>
  <si>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</si>
  <si>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</si>
  <si>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</si>
  <si>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</si>
  <si>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</si>
  <si>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</si>
  <si>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</si>
  <si>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</si>
  <si>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</si>
  <si>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</si>
  <si>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</si>
  <si>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</si>
  <si>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</si>
  <si>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</si>
  <si>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</si>
  <si>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</si>
  <si>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</si>
  <si>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</si>
  <si>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</si>
  <si>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</si>
  <si>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</si>
  <si>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</si>
  <si>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</si>
  <si>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</si>
  <si>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</si>
  <si>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</si>
  <si>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</si>
  <si>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</si>
  <si>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</si>
  <si>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</si>
  <si>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</si>
  <si>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</si>
  <si>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</si>
  <si>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</si>
  <si>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</si>
  <si>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</si>
  <si>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</si>
  <si>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</si>
  <si>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</si>
  <si>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</si>
  <si>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</si>
  <si>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</si>
  <si>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</si>
  <si>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</si>
  <si>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</si>
  <si>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</si>
  <si>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</si>
  <si>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</si>
  <si>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</si>
  <si>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</si>
  <si>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</si>
  <si>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</si>
  <si>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</si>
  <si>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</si>
  <si>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</si>
  <si>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</si>
  <si>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</si>
  <si>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</si>
  <si>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</si>
  <si>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</si>
  <si>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</si>
  <si>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</si>
  <si>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</si>
  <si>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</si>
  <si>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</si>
  <si>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</si>
  <si>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</si>
  <si>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</si>
  <si>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</si>
  <si>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</si>
  <si>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</si>
  <si>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</si>
  <si>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</si>
  <si>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</si>
  <si>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</si>
  <si>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</si>
  <si>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</si>
  <si>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</si>
  <si>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</si>
  <si>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</si>
  <si>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</si>
  <si>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</si>
  <si>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</si>
  <si>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</si>
  <si>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</si>
  <si>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</si>
  <si>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</si>
  <si>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</si>
  <si>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</si>
  <si>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</si>
  <si>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</si>
  <si>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</si>
  <si>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</si>
  <si>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</si>
  <si>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</si>
  <si>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</si>
  <si>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</si>
  <si>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</si>
  <si>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</si>
  <si>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</si>
  <si>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</si>
  <si>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</si>
  <si>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</si>
  <si>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</si>
  <si>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</si>
  <si>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</si>
  <si>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</si>
  <si>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</si>
  <si>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</si>
  <si>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</si>
  <si>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</si>
  <si>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</si>
  <si>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</si>
  <si>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</si>
  <si>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</si>
  <si>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</si>
  <si>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</si>
  <si>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</si>
  <si>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</si>
  <si>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</si>
  <si>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</si>
  <si>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</si>
  <si>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</si>
  <si>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</si>
  <si>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</si>
  <si>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</si>
  <si>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</si>
  <si>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</si>
  <si>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</si>
  <si>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</si>
  <si>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</si>
  <si>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</si>
  <si>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</si>
  <si>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</si>
  <si>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</si>
  <si>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</si>
  <si>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</si>
  <si>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</si>
  <si>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</si>
  <si>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</si>
  <si>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</si>
  <si>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</si>
  <si>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</si>
  <si>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</si>
  <si>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</si>
  <si>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</si>
  <si>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</si>
  <si>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</si>
  <si>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</si>
  <si>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</si>
  <si>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</si>
  <si>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</si>
  <si>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</si>
  <si>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</si>
  <si>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</si>
  <si>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</si>
  <si>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</si>
  <si>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</si>
  <si>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</si>
  <si>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</si>
  <si>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</si>
  <si>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</si>
  <si>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</si>
  <si>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</si>
  <si>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</si>
  <si>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</si>
  <si>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</si>
  <si>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</si>
  <si>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</si>
  <si>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</si>
  <si>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</si>
  <si>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</si>
  <si>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</si>
  <si>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</si>
  <si>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</si>
  <si>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</si>
  <si>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</si>
  <si>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</si>
  <si>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</si>
  <si>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</si>
  <si>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</si>
  <si>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</si>
  <si>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</si>
  <si>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</si>
  <si>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</si>
  <si>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</si>
  <si>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</si>
  <si>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</si>
  <si>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</si>
  <si>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</si>
  <si>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</si>
  <si>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</si>
  <si>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</si>
  <si>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</si>
  <si>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</si>
  <si>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</si>
  <si>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</si>
  <si>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</si>
  <si>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</si>
  <si>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</si>
  <si>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</si>
  <si>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</si>
  <si>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</si>
  <si>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</si>
  <si>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</si>
  <si>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</si>
  <si>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</si>
  <si>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</si>
  <si>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</si>
  <si>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</si>
  <si>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</si>
  <si>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</si>
  <si>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</si>
  <si>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</si>
  <si>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</si>
  <si>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</si>
  <si>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</si>
  <si>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</si>
  <si>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</si>
  <si>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</si>
  <si>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</si>
  <si>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</si>
  <si>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</si>
  <si>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</si>
  <si>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</si>
  <si>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</si>
  <si>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</si>
  <si>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</si>
  <si>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</si>
  <si>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</si>
  <si>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</si>
  <si>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</si>
  <si>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</si>
  <si>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</si>
  <si>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</si>
  <si>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</si>
  <si>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</si>
  <si>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</si>
  <si>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</si>
  <si>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</si>
  <si>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</si>
  <si>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</si>
  <si>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</si>
  <si>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</si>
  <si>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</si>
  <si>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</si>
  <si>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</si>
  <si>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</si>
  <si>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</si>
  <si>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</si>
  <si>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</si>
  <si>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</si>
  <si>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</si>
  <si>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</si>
  <si>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</si>
  <si>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</si>
  <si>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</si>
  <si>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</si>
  <si>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</si>
  <si>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</si>
  <si>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</si>
  <si>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</si>
  <si>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</si>
  <si>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</si>
  <si>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</si>
  <si>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</si>
  <si>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</si>
  <si>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</si>
  <si>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</si>
  <si>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</si>
  <si>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</si>
  <si>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</si>
  <si>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</si>
  <si>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</si>
  <si>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</si>
  <si>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</si>
  <si>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</si>
  <si>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</si>
  <si>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</si>
  <si>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</si>
  <si>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</si>
  <si>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</si>
  <si>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</si>
  <si>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</si>
  <si>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</si>
  <si>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</si>
  <si>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</si>
  <si>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</si>
  <si>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</si>
  <si>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</si>
  <si>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</si>
  <si>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</si>
  <si>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</si>
  <si>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</si>
  <si>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</si>
  <si>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</si>
  <si>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</si>
  <si>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</si>
  <si>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</si>
  <si>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</si>
  <si>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</si>
  <si>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</si>
  <si>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</si>
  <si>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</si>
  <si>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</si>
  <si>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</si>
  <si>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</si>
  <si>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</si>
  <si>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</si>
  <si>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</si>
  <si>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</si>
  <si>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</si>
  <si>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</si>
  <si>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</si>
  <si>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</si>
  <si>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</si>
  <si>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</si>
  <si>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</si>
  <si>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</si>
  <si>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</si>
  <si>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</si>
  <si>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</si>
  <si>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</si>
  <si>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</si>
  <si>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</si>
  <si>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</si>
  <si>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</si>
  <si>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</si>
  <si>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</si>
  <si>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</si>
  <si>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</si>
  <si>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</si>
  <si>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</si>
  <si>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</si>
  <si>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</si>
  <si>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</si>
  <si>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</si>
  <si>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</si>
  <si>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</si>
  <si>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</si>
  <si>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</si>
  <si>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</si>
  <si>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</si>
  <si>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</si>
  <si>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</si>
  <si>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</si>
  <si>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</si>
  <si>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</si>
  <si>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</si>
  <si>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</si>
  <si>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</si>
  <si>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</si>
  <si>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</si>
  <si>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</si>
  <si>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</si>
  <si>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</si>
  <si>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</si>
  <si>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</si>
  <si>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</si>
  <si>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</si>
  <si>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</si>
  <si>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</si>
  <si>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</si>
  <si>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</si>
  <si>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</si>
  <si>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</si>
  <si>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</si>
  <si>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</si>
  <si>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</si>
  <si>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</si>
  <si>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</si>
  <si>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</si>
  <si>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</si>
  <si>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</si>
  <si>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</si>
  <si>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</si>
  <si>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</si>
  <si>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</si>
  <si>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</si>
  <si>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</si>
  <si>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</si>
  <si>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</si>
  <si>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</si>
  <si>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</si>
  <si>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</si>
  <si>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</si>
  <si>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</si>
  <si>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</si>
  <si>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</si>
  <si>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</si>
  <si>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</si>
  <si>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</si>
  <si>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</si>
  <si>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</si>
  <si>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</si>
  <si>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</si>
  <si>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</si>
  <si>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</si>
  <si>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</si>
  <si>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</si>
  <si>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</si>
  <si>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</si>
  <si>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</si>
  <si>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</si>
  <si>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</si>
  <si>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</si>
  <si>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</si>
  <si>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</si>
  <si>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</si>
  <si>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</si>
  <si>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</si>
  <si>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</si>
  <si>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</si>
  <si>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</si>
  <si>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</si>
  <si>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</si>
  <si>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</si>
  <si>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</si>
  <si>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</si>
  <si>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</si>
  <si>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</si>
  <si>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</si>
  <si>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</si>
  <si>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</si>
  <si>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</si>
  <si>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</si>
  <si>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</si>
  <si>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</si>
  <si>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</si>
  <si>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</si>
  <si>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</si>
  <si>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</si>
  <si>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</si>
  <si>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</si>
  <si>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</si>
  <si>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</si>
  <si>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</si>
  <si>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</si>
  <si>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</si>
  <si>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</si>
  <si>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</si>
  <si>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</si>
  <si>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</si>
  <si>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</si>
  <si>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</si>
  <si>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</si>
  <si>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</si>
  <si>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</si>
  <si>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</si>
  <si>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</si>
  <si>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</si>
  <si>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</si>
  <si>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</si>
  <si>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</si>
  <si>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</si>
  <si>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</si>
  <si>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</si>
  <si>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</si>
  <si>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</si>
  <si>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</si>
  <si>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</si>
  <si>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</si>
  <si>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</si>
  <si>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</si>
  <si>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</si>
  <si>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</si>
  <si>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</si>
  <si>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</si>
  <si>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</si>
  <si>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</si>
  <si>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</si>
  <si>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</si>
  <si>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</si>
  <si>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</si>
  <si>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</si>
  <si>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</si>
  <si>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</si>
  <si>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</si>
  <si>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</si>
  <si>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</si>
  <si>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</si>
  <si>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</si>
  <si>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</si>
  <si>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</si>
  <si>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</si>
  <si>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</si>
  <si>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</si>
  <si>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</si>
  <si>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</si>
  <si>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</si>
  <si>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</si>
  <si>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</si>
  <si>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</si>
  <si>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</si>
  <si>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</si>
  <si>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</si>
  <si>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</si>
  <si>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</si>
  <si>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</si>
  <si>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</si>
  <si>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</si>
  <si>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</si>
  <si>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</si>
  <si>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</si>
  <si>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</si>
  <si>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</si>
  <si>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</si>
  <si>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</si>
  <si>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</si>
  <si>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</si>
  <si>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</si>
  <si>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</si>
  <si>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</si>
  <si>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</si>
  <si>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</si>
  <si>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</si>
  <si>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</si>
  <si>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</si>
  <si>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</si>
  <si>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</si>
  <si>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</si>
  <si>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</si>
  <si>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</si>
  <si>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</si>
  <si>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</si>
  <si>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</si>
  <si>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</si>
  <si>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</si>
  <si>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</si>
  <si>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</si>
  <si>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</si>
  <si>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</si>
  <si>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</si>
  <si>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</si>
  <si>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</si>
  <si>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</si>
  <si>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</si>
  <si>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</si>
  <si>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</si>
  <si>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</si>
  <si>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</si>
  <si>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</si>
  <si>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</si>
  <si>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</si>
  <si>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</si>
  <si>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</si>
  <si>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</si>
  <si>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</si>
  <si>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</si>
  <si>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</si>
  <si>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</si>
  <si>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</si>
  <si>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</si>
  <si>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</si>
  <si>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</si>
  <si>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</si>
  <si>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</si>
  <si>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</si>
  <si>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</si>
  <si>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</si>
  <si>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</si>
  <si>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</si>
  <si>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</si>
  <si>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</si>
  <si>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</si>
  <si>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</si>
  <si>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</si>
  <si>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</si>
  <si>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</si>
  <si>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</si>
  <si>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</si>
  <si>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</si>
  <si>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</si>
  <si>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</si>
  <si>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</si>
  <si>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</si>
  <si>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</si>
  <si>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</si>
  <si>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</si>
  <si>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</si>
  <si>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</si>
  <si>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</si>
  <si>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</si>
  <si>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</si>
  <si>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</si>
  <si>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</si>
  <si>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</si>
  <si>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</si>
  <si>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</si>
  <si>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</si>
  <si>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</si>
  <si>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</si>
  <si>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</si>
  <si>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</si>
  <si>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</si>
  <si>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</si>
  <si>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</si>
  <si>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</si>
  <si>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</si>
  <si>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</si>
  <si>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</si>
  <si>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</si>
  <si>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</si>
  <si>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</si>
  <si>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</si>
  <si>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</si>
  <si>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</si>
  <si>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</si>
  <si>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</si>
  <si>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</si>
  <si>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</si>
  <si>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</si>
  <si>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</si>
  <si>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</si>
  <si>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</si>
  <si>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</si>
  <si>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</si>
  <si>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</si>
  <si>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</si>
  <si>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</si>
  <si>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</si>
  <si>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</si>
  <si>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</si>
  <si>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</si>
  <si>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</si>
  <si>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</si>
  <si>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</si>
  <si>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</si>
  <si>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</si>
  <si>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</si>
  <si>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</si>
  <si>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</si>
  <si>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</si>
  <si>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</si>
  <si>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</si>
  <si>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</si>
  <si>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</si>
  <si>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</si>
  <si>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</si>
  <si>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</si>
  <si>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</si>
  <si>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</si>
  <si>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</si>
  <si>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</si>
  <si>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</si>
  <si>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</si>
  <si>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</si>
  <si>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</si>
  <si>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</si>
  <si>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</si>
  <si>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</si>
  <si>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</si>
  <si>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</si>
  <si>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</si>
  <si>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</si>
  <si>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</si>
  <si>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</si>
  <si>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</si>
  <si>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</si>
  <si>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</si>
  <si>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</si>
  <si>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</si>
  <si>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</si>
  <si>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</si>
  <si>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</si>
  <si>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</si>
  <si>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</si>
  <si>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</si>
  <si>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</si>
  <si>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</si>
  <si>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</si>
  <si>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</si>
  <si>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</si>
  <si>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</si>
  <si>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</si>
  <si>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</si>
  <si>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</si>
  <si>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</si>
  <si>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</si>
  <si>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</si>
  <si>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</si>
  <si>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</si>
  <si>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</si>
  <si>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</si>
  <si>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</si>
  <si>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</si>
  <si>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</si>
  <si>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</si>
  <si>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</si>
  <si>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</si>
  <si>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</si>
  <si>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</si>
  <si>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</si>
  <si>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</si>
  <si>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</si>
  <si>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</si>
  <si>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</si>
  <si>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</si>
  <si>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</si>
  <si>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</si>
  <si>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</si>
  <si>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</si>
  <si>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</si>
  <si>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</si>
  <si>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</si>
  <si>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</si>
  <si>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</si>
  <si>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</si>
  <si>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</si>
  <si>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</si>
  <si>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</si>
  <si>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</si>
  <si>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</si>
  <si>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</si>
  <si>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</si>
  <si>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</si>
  <si>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</si>
  <si>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</si>
  <si>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</si>
  <si>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</si>
  <si>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</si>
  <si>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</si>
  <si>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</si>
  <si>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</si>
  <si>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</si>
  <si>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</si>
  <si>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</si>
  <si>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</si>
  <si>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</si>
  <si>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</si>
  <si>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</si>
  <si>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</si>
  <si>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</si>
  <si>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</si>
  <si>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</si>
  <si>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</si>
  <si>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</si>
  <si>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</si>
  <si>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</si>
  <si>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</si>
  <si>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</si>
  <si>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</si>
  <si>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</si>
  <si>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</si>
  <si>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</si>
  <si>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</si>
  <si>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</si>
  <si>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</si>
  <si>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</si>
  <si>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</si>
  <si>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</si>
  <si>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</si>
  <si>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</si>
  <si>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</si>
  <si>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</si>
  <si>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</si>
  <si>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</si>
  <si>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</si>
  <si>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</si>
  <si>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</si>
  <si>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</si>
  <si>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</si>
  <si>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</si>
  <si>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</si>
  <si>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</si>
  <si>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</si>
  <si>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</si>
  <si>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</si>
  <si>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</si>
  <si>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</si>
  <si>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</si>
  <si>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</si>
  <si>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</si>
  <si>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</si>
  <si>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</si>
  <si>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</si>
  <si>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</si>
  <si>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</si>
  <si>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</si>
  <si>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</si>
  <si>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</si>
  <si>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</si>
  <si>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</si>
  <si>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</si>
  <si>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</si>
  <si>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</si>
  <si>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</si>
  <si>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</si>
  <si>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</si>
  <si>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</si>
  <si>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</si>
  <si>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</si>
  <si>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</si>
  <si>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</si>
  <si>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</si>
  <si>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</si>
  <si>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</si>
  <si>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</si>
  <si>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</si>
  <si>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</si>
  <si>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</si>
  <si>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</si>
  <si>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</si>
  <si>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</si>
  <si>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</si>
  <si>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</si>
  <si>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</si>
  <si>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</si>
  <si>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</si>
  <si>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</si>
  <si>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</si>
  <si>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</si>
  <si>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</si>
  <si>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</si>
  <si>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</si>
  <si>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</si>
  <si>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</si>
  <si>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</si>
  <si>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</si>
  <si>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</si>
  <si>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</si>
  <si>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</si>
  <si>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</si>
  <si>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</si>
  <si>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</si>
  <si>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</si>
  <si>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</si>
  <si>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</si>
  <si>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</si>
  <si>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</si>
  <si>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</si>
  <si>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</si>
  <si>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</si>
  <si>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</si>
  <si>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</si>
  <si>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</si>
  <si>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</si>
  <si>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</si>
  <si>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</si>
  <si>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</si>
  <si>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</si>
  <si>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</si>
  <si>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</si>
  <si>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</si>
  <si>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</si>
  <si>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</si>
  <si>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</si>
  <si>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</si>
  <si>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</si>
  <si>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</si>
  <si>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</si>
  <si>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</si>
  <si>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</si>
  <si>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</si>
  <si>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</si>
  <si>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</si>
  <si>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</si>
  <si>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</si>
  <si>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</si>
  <si>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</si>
  <si>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</si>
  <si>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</si>
  <si>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</si>
  <si>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</si>
  <si>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</si>
  <si>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</si>
  <si>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</si>
  <si>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</si>
  <si>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</si>
  <si>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</si>
  <si>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</si>
  <si>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</si>
  <si>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</si>
  <si>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</si>
  <si>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</si>
  <si>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</si>
  <si>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</si>
  <si>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</si>
  <si>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</si>
  <si>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</si>
  <si>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</si>
  <si>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</si>
  <si>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</si>
  <si>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</si>
  <si>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</si>
  <si>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</si>
  <si>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</si>
  <si>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</si>
  <si>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</si>
  <si>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</si>
  <si>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</si>
  <si>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</si>
  <si>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</si>
  <si>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</si>
  <si>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</si>
  <si>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</si>
  <si>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</si>
  <si>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</si>
  <si>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</si>
  <si>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</si>
  <si>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</si>
  <si>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</si>
  <si>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</si>
  <si>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</si>
  <si>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</si>
  <si>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</si>
  <si>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</si>
  <si>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</si>
  <si>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</si>
  <si>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</si>
  <si>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</si>
  <si>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</si>
  <si>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</si>
  <si>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</si>
  <si>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</si>
  <si>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</si>
  <si>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</si>
  <si>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</si>
  <si>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</si>
  <si>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</si>
  <si>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</si>
  <si>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</si>
  <si>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</si>
  <si>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</si>
  <si>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</si>
  <si>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</si>
  <si>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</si>
  <si>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</si>
  <si>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</si>
  <si>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</si>
  <si>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</si>
  <si>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</si>
  <si>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</si>
  <si>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</si>
  <si>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</si>
  <si>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</si>
  <si>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</si>
  <si>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</si>
  <si>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</si>
  <si>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</si>
  <si>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</si>
  <si>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</si>
  <si>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</si>
  <si>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</si>
  <si>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</si>
  <si>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</si>
  <si>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</si>
  <si>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</si>
  <si>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</si>
  <si>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</si>
  <si>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</si>
  <si>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</si>
  <si>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</si>
  <si>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</si>
  <si>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</si>
  <si>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</si>
  <si>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</si>
  <si>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</si>
  <si>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</si>
  <si>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</si>
  <si>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</si>
  <si>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</si>
  <si>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</si>
  <si>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</si>
  <si>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</si>
  <si>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</si>
  <si>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</si>
  <si>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</si>
  <si>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</si>
  <si>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</si>
  <si>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</si>
  <si>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</si>
  <si>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</si>
  <si>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</si>
  <si>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</si>
  <si>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</si>
  <si>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</si>
  <si>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</si>
  <si>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</si>
  <si>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</si>
  <si>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</si>
  <si>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</si>
  <si>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</si>
  <si>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</si>
  <si>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</si>
  <si>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</si>
  <si>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</si>
  <si>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</si>
  <si>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</si>
  <si>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</si>
  <si>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</si>
  <si>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</si>
  <si>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</si>
  <si>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</si>
  <si>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</si>
  <si>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</si>
  <si>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</si>
  <si>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</si>
  <si>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</si>
  <si>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</si>
  <si>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</si>
  <si>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</si>
  <si>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</si>
  <si>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</si>
  <si>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</si>
  <si>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</si>
  <si>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</si>
  <si>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</si>
  <si>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</si>
  <si>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</si>
  <si>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</si>
  <si>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</si>
  <si>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</si>
  <si>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</si>
  <si>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</si>
  <si>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</si>
  <si>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</si>
  <si>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</si>
  <si>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</si>
  <si>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</si>
  <si>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</si>
  <si>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</si>
  <si>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</si>
  <si>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</si>
  <si>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</si>
  <si>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</si>
  <si>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</si>
  <si>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</si>
  <si>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</si>
  <si>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</si>
  <si>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</si>
  <si>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</si>
  <si>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</si>
  <si>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</si>
  <si>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</si>
  <si>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</si>
  <si>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</si>
  <si>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</si>
  <si>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</si>
  <si>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</si>
  <si>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</si>
  <si>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</si>
  <si>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</si>
  <si>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</si>
  <si>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</si>
  <si>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</si>
  <si>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</si>
  <si>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</si>
  <si>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</si>
  <si>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</si>
  <si>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</si>
  <si>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</si>
  <si>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</si>
  <si>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</si>
  <si>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</si>
  <si>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</si>
  <si>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</si>
  <si>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</si>
  <si>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</si>
  <si>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</si>
  <si>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</si>
  <si>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</si>
  <si>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</si>
  <si>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</si>
  <si>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</si>
  <si>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</si>
  <si>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</si>
  <si>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</si>
  <si>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</si>
  <si>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</si>
  <si>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</si>
  <si>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</si>
  <si>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</si>
  <si>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</si>
  <si>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</si>
  <si>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</si>
  <si>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</si>
  <si>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</si>
  <si>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</si>
  <si>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</si>
  <si>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</si>
  <si>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</si>
  <si>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</si>
  <si>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</si>
  <si>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</si>
  <si>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</si>
  <si>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</si>
  <si>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</si>
  <si>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</si>
  <si>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</si>
  <si>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</si>
  <si>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</si>
  <si>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</si>
  <si>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</si>
  <si>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</si>
  <si>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</si>
  <si>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</si>
  <si>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</si>
  <si>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</si>
  <si>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</si>
  <si>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</si>
  <si>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</si>
  <si>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</si>
  <si>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</si>
  <si>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</si>
  <si>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</si>
  <si>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</si>
  <si>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</si>
  <si>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</si>
  <si>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</si>
  <si>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</si>
  <si>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</si>
  <si>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</si>
  <si>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</si>
  <si>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</si>
  <si>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</si>
  <si>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</si>
  <si>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</si>
  <si>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</si>
  <si>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</si>
  <si>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</si>
  <si>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</si>
  <si>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</si>
  <si>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</si>
  <si>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</si>
  <si>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</si>
  <si>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</si>
  <si>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</si>
  <si>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</si>
  <si>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</si>
  <si>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</si>
  <si>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</si>
  <si>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</si>
  <si>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</si>
  <si>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</si>
  <si>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</si>
  <si>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</si>
  <si>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</si>
  <si>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</si>
  <si>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</si>
  <si>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</si>
  <si>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</si>
  <si>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</si>
  <si>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</si>
  <si>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</si>
  <si>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</si>
  <si>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</si>
  <si>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</si>
  <si>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</si>
  <si>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</si>
  <si>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</si>
  <si>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</si>
  <si>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</si>
  <si>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</si>
  <si>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</si>
  <si>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</si>
  <si>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</si>
  <si>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</si>
  <si>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</si>
  <si>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</si>
  <si>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</si>
  <si>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</si>
  <si>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</si>
  <si>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</si>
  <si>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</si>
  <si>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</si>
  <si>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</si>
  <si>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</si>
  <si>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</si>
  <si>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</si>
  <si>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</si>
  <si>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</si>
  <si>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</si>
  <si>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</si>
  <si>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</si>
  <si>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</si>
  <si>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</si>
  <si>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</si>
  <si>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</si>
  <si>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</si>
  <si>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</si>
  <si>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</si>
  <si>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</si>
  <si>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</si>
  <si>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</si>
  <si>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</si>
  <si>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</si>
  <si>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</si>
  <si>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</si>
  <si>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</si>
  <si>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</si>
  <si>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</si>
  <si>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</si>
  <si>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</si>
  <si>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</si>
  <si>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</si>
  <si>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</si>
  <si>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</si>
  <si>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</si>
  <si>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</si>
  <si>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</si>
  <si>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</si>
  <si>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</si>
  <si>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</si>
  <si>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</si>
  <si>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</si>
  <si>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</si>
  <si>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</si>
  <si>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</si>
  <si>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</si>
  <si>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</si>
  <si>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</si>
  <si>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</si>
  <si>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</si>
  <si>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</si>
  <si>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</si>
  <si>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</si>
  <si>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</si>
  <si>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</si>
  <si>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</si>
  <si>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</si>
  <si>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</si>
  <si>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</si>
  <si>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</si>
  <si>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</si>
  <si>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</si>
  <si>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</si>
  <si>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</si>
  <si>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</si>
  <si>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</si>
  <si>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</si>
  <si>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</si>
  <si>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</si>
  <si>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</si>
  <si>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</si>
  <si>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</si>
  <si>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</si>
  <si>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</si>
  <si>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</si>
  <si>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</si>
  <si>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</si>
  <si>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</si>
  <si>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</si>
  <si>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</si>
  <si>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</si>
  <si>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</si>
  <si>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</si>
  <si>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</si>
  <si>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</si>
  <si>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</si>
  <si>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</si>
  <si>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</si>
  <si>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</si>
  <si>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</si>
  <si>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</si>
  <si>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</si>
  <si>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</si>
  <si>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</si>
  <si>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</si>
  <si>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</si>
  <si>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</si>
  <si>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</si>
  <si>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</si>
  <si>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</si>
  <si>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</si>
  <si>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</si>
  <si>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</si>
  <si>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</si>
  <si>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</si>
  <si>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</si>
  <si>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</si>
  <si>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</si>
  <si>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</si>
  <si>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</si>
  <si>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</si>
  <si>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</si>
  <si>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</si>
  <si>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</si>
  <si>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</si>
  <si>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</si>
  <si>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</si>
  <si>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</si>
  <si>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</si>
  <si>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</si>
  <si>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</si>
  <si>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</si>
  <si>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</si>
  <si>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</si>
  <si>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</si>
  <si>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</si>
  <si>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</si>
  <si>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</si>
  <si>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</si>
  <si>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</si>
  <si>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</si>
  <si>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</si>
  <si>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</si>
  <si>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</si>
  <si>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</si>
  <si>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</si>
  <si>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</si>
  <si>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</si>
  <si>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</si>
  <si>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</si>
  <si>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</si>
  <si>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</si>
  <si>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</si>
  <si>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</si>
  <si>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</si>
  <si>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</si>
  <si>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</si>
  <si>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</si>
  <si>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</si>
  <si>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</si>
  <si>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</si>
  <si>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</si>
  <si>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</si>
  <si>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</si>
  <si>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</si>
  <si>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</si>
  <si>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</si>
  <si>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</si>
  <si>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</si>
  <si>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</si>
  <si>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</si>
  <si>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</si>
  <si>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</si>
  <si>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</si>
  <si>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</si>
  <si>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</si>
  <si>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</si>
  <si>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</si>
  <si>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</si>
  <si>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</si>
  <si>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</si>
  <si>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</si>
  <si>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</si>
  <si>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</si>
  <si>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</si>
  <si>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</si>
  <si>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</si>
  <si>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</si>
  <si>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</si>
  <si>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</si>
  <si>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</si>
  <si>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</si>
  <si>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</si>
  <si>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</si>
  <si>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</si>
  <si>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</si>
  <si>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</si>
  <si>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</si>
  <si>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</si>
  <si>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</si>
  <si>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</si>
  <si>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</si>
  <si>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</si>
  <si>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</si>
  <si>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</si>
  <si>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</si>
  <si>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</si>
  <si>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</si>
  <si>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</si>
  <si>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</si>
  <si>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</si>
  <si>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</si>
  <si>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</si>
  <si>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</si>
  <si>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</si>
  <si>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</si>
  <si>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</si>
  <si>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</si>
  <si>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</si>
  <si>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</si>
  <si>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</si>
  <si>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</si>
  <si>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</si>
  <si>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</si>
  <si>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</si>
  <si>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</si>
  <si>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</si>
  <si>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</si>
  <si>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</si>
  <si>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</si>
  <si>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</si>
  <si>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</si>
  <si>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</si>
  <si>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</si>
  <si>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</si>
  <si>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</si>
  <si>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</si>
  <si>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</si>
  <si>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</si>
  <si>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</si>
  <si>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</si>
  <si>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</si>
  <si>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</si>
  <si>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</si>
  <si>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</si>
  <si>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</si>
  <si>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</si>
  <si>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</si>
  <si>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</si>
  <si>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</si>
  <si>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</si>
  <si>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</si>
  <si>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</si>
  <si>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</si>
  <si>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</si>
  <si>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</si>
  <si>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</si>
  <si>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</si>
  <si>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</si>
  <si>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</si>
  <si>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</si>
  <si>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</si>
  <si>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</si>
  <si>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</si>
  <si>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</si>
  <si>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</si>
  <si>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</si>
  <si>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</si>
  <si>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</si>
  <si>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</si>
  <si>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</si>
  <si>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</si>
  <si>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</si>
  <si>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</si>
  <si>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</si>
  <si>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</si>
  <si>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</si>
  <si>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</si>
  <si>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</si>
  <si>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</si>
  <si>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</si>
  <si>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</si>
  <si>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</si>
  <si>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</si>
  <si>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</si>
  <si>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</si>
  <si>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</si>
  <si>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</si>
  <si>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</si>
  <si>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</si>
  <si>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</si>
  <si>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</si>
  <si>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</si>
  <si>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</si>
  <si>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</si>
  <si>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</si>
  <si>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</si>
  <si>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</si>
  <si>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</si>
  <si>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</si>
  <si>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</si>
  <si>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</si>
  <si>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</si>
  <si>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</si>
  <si>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</si>
  <si>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</si>
  <si>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</si>
  <si>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</si>
  <si>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</si>
  <si>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</si>
  <si>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</si>
  <si>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</si>
  <si>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</si>
  <si>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</si>
  <si>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</si>
  <si>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</si>
  <si>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</si>
  <si>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</si>
  <si>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</si>
  <si>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</si>
  <si>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</si>
  <si>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</si>
  <si>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</si>
  <si>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</si>
  <si>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</si>
  <si>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</si>
  <si>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</si>
  <si>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</si>
  <si>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</si>
  <si>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</si>
  <si>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</si>
  <si>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</si>
  <si>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</si>
  <si>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</si>
  <si>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</si>
  <si>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</si>
  <si>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</si>
  <si>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</si>
  <si>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</si>
  <si>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</si>
  <si>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</si>
  <si>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</si>
  <si>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</si>
  <si>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</si>
  <si>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</si>
  <si>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</si>
  <si>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</si>
  <si>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</si>
  <si>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</si>
  <si>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</si>
  <si>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</si>
  <si>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</si>
  <si>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</si>
  <si>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</si>
  <si>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</si>
  <si>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</si>
  <si>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</si>
  <si>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</si>
  <si>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</si>
  <si>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</si>
  <si>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</si>
  <si>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</si>
  <si>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</si>
  <si>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</si>
  <si>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</si>
  <si>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</si>
  <si>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</si>
  <si>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</si>
  <si>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</si>
  <si>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</si>
  <si>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</si>
  <si>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</si>
  <si>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</si>
  <si>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</si>
  <si>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</si>
  <si>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</si>
  <si>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</si>
  <si>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</si>
  <si>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</si>
  <si>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</si>
  <si>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</si>
  <si>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</si>
  <si>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</si>
  <si>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</si>
  <si>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</si>
  <si>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</si>
  <si>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</si>
  <si>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</si>
  <si>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</si>
  <si>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</si>
  <si>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</si>
  <si>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</si>
  <si>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</si>
  <si>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</si>
  <si>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</si>
  <si>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</si>
  <si>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</si>
  <si>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</si>
  <si>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</si>
  <si>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</si>
  <si>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</si>
  <si>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</si>
  <si>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</si>
  <si>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</si>
  <si>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</si>
  <si>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</si>
  <si>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</si>
  <si>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</si>
  <si>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</si>
  <si>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</si>
  <si>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</si>
  <si>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</si>
  <si>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</si>
  <si>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</si>
  <si>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</si>
  <si>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</si>
  <si>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</si>
  <si>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</si>
  <si>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</si>
  <si>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</si>
  <si>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</si>
  <si>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</si>
  <si>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</si>
  <si>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</si>
  <si>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</si>
  <si>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</si>
  <si>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</si>
  <si>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</si>
  <si>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</si>
  <si>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</si>
  <si>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</si>
  <si>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</si>
  <si>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</si>
  <si>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</si>
  <si>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</si>
  <si>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</si>
  <si>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</si>
  <si>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</si>
  <si>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</si>
  <si>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</si>
  <si>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</si>
  <si>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</si>
  <si>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</si>
  <si>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</si>
  <si>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</si>
  <si>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</si>
  <si>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</si>
  <si>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</si>
  <si>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</si>
  <si>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</si>
  <si>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</si>
  <si>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</si>
  <si>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</si>
  <si>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</si>
  <si>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</si>
  <si>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</si>
  <si>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</si>
  <si>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</si>
  <si>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</si>
  <si>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</si>
  <si>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</si>
  <si>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</si>
  <si>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</si>
  <si>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</si>
  <si>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</si>
  <si>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</si>
  <si>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</si>
  <si>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</si>
  <si>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</si>
  <si>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</si>
  <si>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</si>
  <si>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</si>
  <si>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</si>
  <si>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</si>
  <si>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</si>
  <si>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</si>
  <si>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</si>
  <si>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</si>
  <si>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</si>
  <si>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</si>
  <si>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</si>
  <si>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</si>
  <si>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</si>
  <si>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</si>
  <si>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</si>
  <si>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</si>
  <si>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</si>
  <si>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</si>
  <si>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</si>
  <si>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</si>
  <si>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</si>
  <si>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</si>
  <si>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</si>
  <si>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</si>
  <si>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</si>
  <si>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</si>
  <si>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</si>
  <si>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</si>
  <si>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</si>
  <si>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</si>
  <si>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</si>
  <si>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</si>
  <si>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</si>
  <si>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</si>
  <si>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</si>
  <si>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</si>
  <si>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</si>
  <si>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</si>
  <si>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</si>
  <si>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</si>
  <si>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</si>
  <si>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</si>
  <si>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</si>
  <si>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</si>
  <si>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</si>
  <si>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</si>
  <si>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</si>
  <si>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</si>
  <si>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</si>
  <si>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</si>
  <si>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</si>
  <si>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</si>
  <si>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</si>
  <si>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</si>
  <si>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</si>
  <si>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</si>
  <si>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</si>
  <si>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</si>
  <si>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</si>
  <si>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</si>
  <si>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</si>
  <si>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</si>
  <si>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</si>
  <si>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</si>
  <si>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</si>
  <si>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</si>
  <si>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</si>
  <si>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</si>
  <si>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</si>
  <si>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</si>
  <si>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</si>
  <si>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</si>
  <si>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</si>
  <si>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</si>
  <si>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</si>
  <si>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</si>
  <si>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</si>
  <si>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</si>
  <si>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</si>
  <si>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</si>
  <si>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</si>
  <si>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</si>
  <si>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</si>
  <si>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</si>
  <si>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</si>
  <si>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</si>
  <si>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</si>
  <si>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</si>
  <si>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</si>
  <si>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</si>
  <si>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</si>
  <si>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</si>
  <si>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</si>
  <si>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</si>
  <si>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</si>
  <si>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</si>
  <si>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</si>
  <si>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</si>
  <si>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</si>
  <si>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</si>
  <si>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</si>
  <si>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</si>
  <si>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</si>
  <si>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</si>
  <si>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</si>
  <si>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</si>
  <si>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</si>
  <si>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</si>
  <si>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</si>
  <si>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</si>
  <si>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</si>
  <si>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</si>
  <si>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</si>
  <si>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</si>
  <si>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</si>
  <si>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</si>
  <si>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</si>
  <si>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</si>
  <si>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</si>
  <si>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</si>
  <si>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</si>
  <si>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</si>
  <si>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</si>
  <si>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</si>
  <si>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</si>
  <si>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</si>
  <si>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</si>
  <si>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</si>
  <si>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</si>
  <si>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</si>
  <si>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</si>
  <si>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</si>
  <si>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</si>
  <si>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</si>
  <si>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</si>
  <si>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</si>
  <si>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</si>
  <si>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</si>
  <si>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</si>
  <si>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</si>
  <si>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</si>
  <si>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</si>
  <si>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</si>
  <si>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</si>
  <si>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</si>
  <si>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</si>
  <si>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</si>
  <si>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</si>
  <si>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</si>
  <si>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</si>
  <si>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</si>
  <si>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</si>
  <si>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</si>
  <si>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</si>
  <si>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</si>
  <si>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</si>
  <si>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</si>
  <si>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</si>
  <si>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</si>
  <si>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</si>
  <si>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</si>
  <si>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</si>
  <si>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</si>
  <si>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</si>
  <si>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</si>
  <si>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</si>
  <si>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</si>
  <si>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</si>
  <si>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</si>
  <si>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</si>
  <si>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</si>
  <si>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</si>
  <si>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</si>
  <si>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</si>
  <si>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</si>
  <si>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</si>
  <si>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</si>
  <si>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</si>
  <si>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</si>
  <si>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</si>
  <si>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</si>
  <si>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</si>
  <si>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</si>
  <si>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</si>
  <si>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</si>
  <si>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</si>
  <si>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</si>
  <si>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</si>
  <si>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</si>
  <si>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</si>
  <si>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</si>
  <si>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</si>
  <si>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</si>
  <si>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</si>
  <si>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</si>
  <si>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</si>
  <si>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</si>
  <si>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</si>
  <si>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</si>
  <si>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</si>
  <si>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</si>
  <si>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</si>
  <si>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</si>
  <si>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</si>
  <si>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</si>
  <si>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</si>
  <si>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</si>
  <si>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</si>
  <si>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</si>
  <si>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</si>
  <si>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</si>
  <si>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</si>
  <si>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</si>
  <si>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</si>
  <si>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</si>
  <si>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</si>
  <si>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</si>
  <si>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</si>
  <si>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</si>
  <si>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</si>
  <si>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</si>
  <si>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</si>
  <si>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</si>
  <si>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</si>
  <si>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</si>
  <si>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</si>
  <si>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</si>
  <si>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</si>
  <si>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</si>
  <si>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</si>
  <si>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</si>
  <si>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</si>
  <si>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</si>
  <si>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</si>
  <si>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</si>
  <si>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</si>
  <si>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</si>
  <si>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</si>
  <si>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</si>
  <si>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</si>
  <si>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</si>
  <si>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</si>
  <si>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</si>
  <si>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</si>
  <si>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</si>
  <si>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</si>
  <si>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</si>
  <si>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</si>
  <si>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</si>
  <si>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</si>
  <si>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</si>
  <si>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</si>
  <si>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</si>
  <si>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</si>
  <si>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</si>
  <si>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</si>
  <si>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</si>
  <si>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</si>
  <si>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</si>
  <si>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</si>
  <si>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</si>
  <si>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</si>
  <si>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</si>
  <si>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</si>
  <si>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</si>
  <si>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</si>
  <si>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</si>
  <si>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</si>
  <si>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</si>
  <si>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</si>
  <si>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</si>
  <si>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</si>
  <si>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</si>
  <si>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</si>
  <si>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</si>
  <si>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</si>
  <si>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</si>
  <si>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</si>
  <si>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</si>
  <si>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</si>
  <si>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</si>
  <si>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</si>
  <si>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</si>
  <si>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</si>
  <si>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</si>
  <si>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</si>
  <si>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</si>
  <si>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</si>
  <si>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</si>
  <si>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</si>
  <si>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</si>
  <si>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</si>
  <si>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</si>
  <si>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</si>
  <si>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</si>
  <si>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</si>
  <si>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</si>
  <si>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</si>
  <si>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</si>
  <si>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</si>
  <si>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</si>
  <si>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</si>
  <si>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</si>
  <si>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</si>
  <si>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</si>
  <si>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</si>
  <si>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</si>
  <si>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</si>
  <si>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</si>
  <si>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</si>
  <si>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</si>
  <si>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</si>
  <si>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</si>
  <si>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</si>
  <si>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</si>
  <si>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</si>
  <si>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</si>
  <si>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</si>
  <si>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</si>
  <si>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</si>
  <si>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</si>
  <si>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</si>
  <si>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</si>
  <si>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</si>
  <si>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</si>
  <si>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</si>
  <si>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</si>
  <si>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</si>
  <si>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</si>
  <si>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</si>
  <si>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</si>
  <si>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</si>
  <si>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</si>
  <si>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</si>
  <si>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</si>
  <si>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</si>
  <si>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</si>
  <si>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</si>
  <si>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</si>
  <si>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</si>
  <si>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</si>
  <si>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</si>
  <si>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</si>
  <si>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</si>
  <si>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</si>
  <si>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</si>
  <si>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</si>
  <si>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</si>
  <si>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</si>
  <si>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</si>
  <si>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</si>
  <si>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</si>
  <si>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</si>
  <si>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</si>
  <si>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</si>
  <si>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</si>
  <si>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</si>
  <si>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</si>
  <si>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</si>
  <si>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</si>
  <si>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</si>
  <si>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</si>
  <si>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</si>
  <si>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</si>
  <si>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</si>
  <si>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</si>
  <si>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</si>
  <si>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</si>
  <si>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</si>
  <si>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</si>
  <si>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</si>
  <si>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</si>
  <si>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</si>
  <si>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</si>
  <si>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</si>
  <si>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</si>
  <si>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</si>
  <si>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</si>
  <si>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</si>
  <si>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</si>
  <si>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</si>
  <si>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</si>
  <si>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</si>
  <si>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</si>
  <si>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</si>
  <si>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</si>
  <si>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</si>
  <si>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</si>
  <si>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</si>
  <si>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</si>
  <si>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</si>
  <si>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</si>
  <si>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</si>
  <si>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</si>
  <si>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</si>
  <si>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</si>
  <si>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</si>
  <si>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</si>
  <si>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</si>
  <si>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</si>
  <si>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</si>
  <si>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</si>
  <si>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</si>
  <si>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</si>
  <si>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</si>
  <si>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</si>
  <si>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</si>
  <si>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</si>
  <si>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</si>
  <si>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</si>
  <si>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</si>
  <si>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</si>
  <si>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</si>
  <si>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</si>
  <si>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</si>
  <si>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</si>
  <si>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</si>
  <si>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</si>
  <si>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</si>
  <si>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</si>
  <si>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</si>
  <si>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</si>
  <si>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</si>
  <si>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</si>
  <si>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</si>
  <si>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</si>
  <si>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</si>
  <si>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</si>
  <si>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</si>
  <si>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</si>
  <si>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</si>
  <si>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</si>
  <si>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</si>
  <si>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</si>
  <si>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</si>
  <si>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</si>
  <si>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</si>
  <si>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</si>
  <si>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</si>
  <si>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</si>
  <si>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</si>
  <si>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</si>
  <si>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</si>
  <si>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</si>
  <si>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</si>
  <si>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</si>
  <si>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</si>
  <si>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</si>
  <si>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</si>
  <si>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</si>
  <si>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</si>
  <si>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</si>
  <si>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</si>
  <si>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</si>
  <si>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</si>
  <si>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</si>
  <si>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</si>
  <si>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</si>
  <si>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</si>
  <si>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</si>
  <si>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</si>
  <si>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</si>
  <si>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</si>
  <si>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</si>
  <si>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</si>
  <si>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</si>
  <si>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</si>
  <si>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</si>
  <si>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</si>
  <si>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</si>
  <si>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</si>
  <si>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</si>
  <si>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</si>
  <si>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</si>
  <si>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</si>
  <si>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</si>
  <si>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</si>
  <si>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</si>
  <si>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</si>
  <si>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</si>
  <si>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</si>
  <si>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</si>
  <si>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</si>
  <si>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</si>
  <si>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</si>
  <si>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</si>
  <si>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</si>
  <si>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</si>
  <si>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</si>
  <si>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</si>
  <si>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</si>
  <si>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</si>
  <si>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</si>
  <si>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</si>
  <si>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</si>
  <si>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</si>
  <si>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</si>
  <si>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</si>
  <si>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</si>
  <si>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</si>
  <si>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</si>
  <si>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</si>
  <si>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</si>
  <si>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</si>
  <si>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</si>
  <si>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</si>
  <si>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</si>
  <si>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</si>
  <si>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</si>
  <si>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</si>
  <si>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</si>
  <si>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</si>
  <si>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</si>
  <si>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</si>
  <si>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</si>
  <si>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</si>
  <si>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</si>
  <si>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</si>
  <si>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</si>
  <si>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</si>
  <si>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</si>
  <si>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</si>
  <si>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</si>
  <si>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</si>
  <si>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</si>
  <si>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</si>
  <si>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</si>
  <si>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</si>
  <si>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</si>
  <si>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</si>
  <si>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</si>
  <si>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</si>
  <si>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</si>
  <si>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</si>
  <si>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</si>
  <si>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</si>
  <si>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</si>
  <si>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</si>
  <si>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</si>
  <si>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</si>
  <si>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</si>
  <si>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</si>
  <si>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</si>
  <si>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</si>
  <si>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</si>
  <si>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</si>
  <si>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</si>
  <si>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</si>
  <si>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</si>
  <si>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</si>
  <si>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</si>
  <si>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</si>
  <si>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</si>
  <si>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</si>
  <si>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</si>
  <si>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</si>
  <si>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</si>
  <si>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</si>
  <si>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</si>
  <si>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</si>
  <si>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</si>
  <si>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</si>
  <si>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</si>
  <si>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</si>
  <si>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</si>
  <si>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</si>
  <si>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</si>
  <si>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</si>
  <si>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</si>
  <si>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</si>
  <si>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</si>
  <si>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</si>
  <si>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</si>
  <si>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</si>
  <si>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</si>
  <si>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</si>
  <si>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</si>
  <si>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</si>
  <si>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</si>
  <si>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</si>
  <si>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</si>
  <si>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</si>
  <si>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</si>
  <si>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</si>
  <si>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</si>
  <si>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</si>
  <si>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</si>
  <si>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</si>
  <si>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</si>
  <si>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</si>
  <si>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</si>
  <si>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</si>
  <si>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</si>
  <si>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</si>
  <si>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</si>
  <si>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</si>
  <si>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</si>
  <si>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</si>
  <si>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</si>
  <si>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</si>
  <si>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</si>
  <si>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</si>
  <si>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</si>
  <si>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</si>
  <si>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</si>
  <si>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</si>
  <si>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</si>
  <si>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</si>
  <si>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</si>
  <si>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</si>
  <si>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</si>
  <si>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</si>
  <si>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</si>
  <si>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</si>
  <si>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</si>
  <si>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</si>
  <si>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</si>
  <si>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</si>
  <si>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</si>
  <si>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</si>
  <si>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</si>
  <si>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</si>
  <si>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</si>
  <si>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</si>
  <si>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</si>
  <si>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</si>
  <si>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</si>
  <si>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</si>
  <si>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</si>
  <si>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</si>
  <si>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</si>
  <si>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</si>
  <si>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</si>
  <si>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</si>
  <si>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</si>
  <si>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</si>
  <si>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</si>
  <si>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</si>
  <si>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</si>
  <si>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</si>
  <si>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</si>
  <si>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</si>
  <si>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</si>
  <si>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</si>
  <si>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</si>
  <si>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</si>
  <si>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</si>
  <si>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</si>
  <si>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</si>
  <si>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</si>
  <si>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</si>
  <si>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</si>
  <si>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</si>
  <si>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</si>
  <si>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</si>
  <si>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</si>
  <si>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</si>
  <si>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</si>
  <si>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</si>
  <si>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</si>
  <si>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</si>
  <si>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</si>
  <si>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</si>
  <si>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</si>
  <si>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</si>
  <si>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</si>
  <si>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</si>
  <si>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</si>
  <si>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</si>
  <si>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</si>
  <si>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</si>
  <si>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</si>
  <si>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</si>
  <si>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</si>
  <si>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</si>
  <si>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</si>
  <si>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</si>
  <si>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</si>
  <si>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</si>
  <si>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</si>
  <si>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</si>
  <si>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</si>
  <si>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</si>
  <si>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</si>
  <si>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</si>
  <si>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</si>
  <si>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</si>
  <si>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</si>
  <si>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</si>
  <si>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</si>
  <si>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</si>
  <si>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</si>
  <si>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</si>
  <si>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</si>
  <si>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</si>
  <si>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</si>
  <si>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</si>
  <si>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</si>
  <si>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</si>
  <si>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</si>
  <si>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</si>
  <si>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</si>
  <si>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</si>
  <si>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</si>
  <si>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</si>
  <si>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</si>
  <si>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</si>
  <si>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</si>
  <si>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</si>
  <si>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</si>
  <si>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</si>
  <si>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</si>
  <si>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</si>
  <si>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</si>
  <si>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</si>
  <si>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</si>
  <si>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</si>
  <si>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</si>
  <si>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</si>
  <si>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</si>
  <si>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</si>
  <si>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</si>
  <si>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</si>
  <si>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</si>
  <si>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</si>
  <si>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</si>
  <si>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</si>
  <si>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</si>
  <si>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</si>
  <si>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</si>
  <si>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</si>
  <si>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</si>
  <si>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</si>
  <si>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</si>
  <si>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</si>
  <si>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</si>
  <si>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</si>
  <si>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</si>
  <si>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</si>
  <si>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</si>
  <si>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</si>
  <si>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</si>
  <si>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</si>
  <si>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</si>
  <si>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</si>
  <si>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</si>
  <si>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</si>
  <si>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</si>
  <si>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</si>
  <si>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</si>
  <si>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</si>
  <si>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</si>
  <si>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</si>
  <si>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</si>
  <si>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</si>
  <si>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</si>
  <si>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</si>
  <si>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</si>
  <si>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</si>
  <si>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</si>
  <si>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</si>
  <si>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</si>
  <si>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</si>
  <si>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</si>
  <si>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</si>
  <si>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</si>
  <si>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</si>
  <si>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</si>
  <si>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</si>
  <si>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</si>
  <si>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</si>
  <si>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</si>
  <si>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</si>
  <si>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</si>
  <si>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</si>
  <si>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</si>
  <si>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</si>
  <si>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</si>
  <si>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</si>
  <si>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</si>
  <si>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</si>
  <si>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</si>
  <si>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</si>
  <si>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</si>
  <si>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</si>
  <si>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</si>
  <si>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</si>
  <si>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</si>
  <si>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</si>
  <si>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</si>
  <si>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</si>
  <si>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</si>
  <si>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</si>
  <si>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</si>
  <si>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</si>
  <si>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</si>
  <si>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</si>
  <si>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</si>
  <si>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</si>
  <si>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</si>
  <si>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</si>
  <si>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</si>
  <si>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</si>
  <si>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</si>
  <si>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</si>
  <si>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</si>
  <si>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</si>
  <si>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</si>
  <si>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</si>
  <si>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</si>
  <si>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</si>
  <si>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</si>
  <si>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</si>
  <si>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</si>
  <si>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</si>
  <si>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</si>
  <si>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</si>
  <si>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</si>
  <si>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</si>
  <si>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</si>
  <si>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</si>
  <si>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</si>
  <si>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</si>
  <si>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</si>
  <si>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</si>
  <si>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</si>
  <si>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</si>
  <si>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</si>
  <si>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</si>
  <si>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</si>
  <si>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</si>
  <si>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</si>
  <si>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</si>
  <si>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</si>
  <si>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</si>
  <si>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</si>
  <si>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</si>
  <si>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</si>
  <si>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</si>
  <si>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</si>
  <si>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</si>
  <si>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</si>
  <si>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</si>
  <si>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</si>
  <si>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</si>
  <si>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</si>
  <si>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</si>
  <si>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</si>
  <si>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</si>
  <si>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</si>
  <si>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</si>
  <si>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</si>
  <si>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</si>
  <si>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</si>
  <si>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</si>
  <si>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</si>
  <si>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</si>
  <si>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</si>
  <si>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</si>
  <si>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</si>
  <si>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</si>
  <si>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</si>
  <si>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</si>
  <si>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</si>
  <si>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</si>
  <si>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</si>
  <si>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</si>
  <si>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</si>
  <si>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</si>
  <si>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</si>
  <si>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</si>
  <si>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</si>
  <si>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</si>
  <si>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</si>
  <si>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</si>
  <si>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</si>
  <si>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</si>
  <si>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</si>
  <si>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</si>
  <si>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</si>
  <si>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</si>
  <si>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</si>
  <si>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</si>
  <si>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</si>
  <si>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</si>
  <si>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</si>
  <si>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</si>
  <si>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</si>
  <si>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</si>
  <si>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</si>
  <si>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</si>
  <si>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</si>
  <si>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</si>
  <si>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</si>
  <si>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</si>
  <si>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</si>
  <si>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</si>
  <si>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</si>
  <si>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</si>
  <si>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</si>
  <si>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</si>
  <si>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</si>
  <si>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</si>
  <si>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</si>
  <si>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</si>
  <si>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</si>
  <si>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</si>
  <si>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</si>
  <si>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</si>
  <si>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</si>
  <si>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</si>
  <si>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</si>
  <si>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</si>
  <si>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</si>
  <si>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</si>
  <si>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</si>
  <si>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</si>
  <si>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</si>
  <si>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</si>
  <si>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</si>
  <si>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</si>
  <si>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</si>
  <si>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</si>
  <si>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</si>
  <si>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</si>
  <si>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</si>
  <si>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</si>
  <si>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</si>
  <si>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</si>
  <si>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</si>
  <si>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</si>
  <si>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</si>
  <si>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</si>
  <si>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</si>
  <si>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</si>
  <si>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</si>
  <si>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</si>
  <si>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</si>
  <si>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</si>
  <si>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</si>
  <si>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</si>
  <si>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</si>
  <si>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</si>
  <si>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</si>
  <si>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</si>
  <si>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</si>
  <si>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</si>
  <si>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</si>
  <si>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</si>
  <si>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</si>
  <si>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</si>
  <si>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</si>
  <si>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</si>
  <si>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</si>
  <si>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</si>
  <si>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</si>
  <si>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</si>
  <si>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</si>
  <si>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</si>
  <si>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</si>
  <si>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</si>
  <si>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</si>
  <si>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</si>
  <si>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</si>
  <si>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</si>
  <si>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</si>
  <si>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</si>
  <si>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</si>
  <si>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</si>
  <si>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</si>
  <si>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</si>
  <si>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</si>
  <si>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</si>
  <si>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</si>
  <si>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</si>
  <si>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</si>
  <si>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</si>
  <si>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</si>
  <si>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</si>
  <si>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</si>
  <si>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</si>
  <si>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</si>
  <si>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</si>
  <si>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</si>
  <si>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</si>
  <si>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</si>
  <si>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</si>
  <si>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</si>
  <si>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</si>
  <si>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</si>
  <si>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</si>
  <si>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</si>
  <si>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</si>
  <si>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</si>
  <si>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</si>
  <si>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</si>
  <si>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</si>
  <si>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</si>
  <si>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</si>
  <si>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</si>
  <si>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</si>
  <si>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</si>
  <si>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</si>
  <si>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</si>
  <si>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</si>
  <si>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</si>
  <si>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</si>
  <si>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</si>
  <si>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</si>
  <si>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</si>
  <si>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</si>
  <si>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</si>
  <si>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</si>
  <si>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</si>
  <si>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</si>
  <si>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</si>
  <si>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</si>
  <si>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</si>
  <si>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</si>
  <si>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</si>
  <si>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</si>
  <si>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</si>
  <si>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</si>
  <si>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</si>
  <si>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</si>
  <si>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</si>
  <si>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</si>
  <si>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</si>
  <si>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</si>
  <si>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</si>
  <si>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</si>
  <si>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</si>
  <si>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</si>
  <si>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</si>
  <si>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</si>
  <si>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</si>
  <si>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</si>
  <si>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</si>
  <si>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</si>
  <si>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</si>
  <si>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</si>
  <si>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</si>
  <si>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</si>
  <si>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</si>
  <si>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</si>
  <si>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</si>
  <si>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</si>
  <si>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</si>
  <si>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</si>
  <si>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</si>
  <si>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</si>
  <si>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</si>
  <si>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</si>
  <si>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</si>
  <si>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</si>
  <si>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</si>
  <si>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</si>
  <si>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</si>
  <si>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</si>
  <si>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</si>
  <si>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</si>
  <si>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</si>
  <si>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</si>
  <si>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</si>
  <si>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</si>
  <si>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</si>
  <si>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</si>
  <si>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</si>
  <si>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</si>
  <si>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</si>
  <si>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</si>
  <si>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</si>
  <si>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</si>
  <si>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</si>
  <si>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</si>
  <si>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</si>
  <si>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</si>
  <si>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</si>
  <si>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</si>
  <si>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</si>
  <si>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</si>
  <si>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</si>
  <si>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</si>
  <si>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</si>
  <si>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</si>
  <si>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</si>
  <si>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</si>
  <si>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</si>
  <si>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</si>
  <si>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</si>
  <si>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</si>
  <si>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</si>
  <si>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</si>
  <si>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</si>
  <si>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</si>
  <si>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</si>
  <si>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</si>
  <si>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</si>
  <si>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</si>
  <si>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</si>
  <si>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</si>
  <si>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</si>
  <si>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</si>
  <si>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</si>
  <si>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</si>
  <si>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</si>
  <si>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</si>
  <si>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</si>
  <si>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</si>
  <si>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</si>
  <si>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</si>
  <si>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</si>
  <si>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</si>
  <si>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</si>
  <si>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</si>
  <si>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</si>
  <si>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</si>
  <si>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</si>
  <si>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</si>
  <si>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</si>
  <si>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</si>
  <si>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</si>
  <si>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</si>
  <si>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</si>
  <si>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</si>
  <si>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</si>
  <si>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</si>
  <si>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</si>
  <si>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</si>
  <si>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</si>
  <si>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</si>
  <si>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</si>
  <si>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</si>
  <si>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</si>
  <si>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</si>
  <si>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</si>
  <si>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</si>
  <si>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</si>
  <si>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</si>
  <si>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</si>
  <si>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</si>
  <si>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</si>
  <si>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</si>
  <si>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</si>
  <si>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</si>
  <si>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</si>
  <si>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</si>
  <si>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</si>
  <si>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</si>
  <si>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</si>
  <si>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</si>
  <si>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</si>
  <si>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</si>
  <si>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</si>
  <si>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</si>
  <si>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</si>
  <si>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</si>
  <si>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</si>
  <si>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</si>
  <si>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</si>
  <si>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</si>
  <si>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</si>
  <si>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</si>
  <si>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</si>
  <si>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</si>
  <si>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</si>
  <si>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</si>
  <si>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</si>
  <si>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</si>
  <si>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</si>
  <si>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</si>
  <si>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</si>
  <si>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</si>
  <si>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</si>
  <si>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</si>
  <si>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</si>
  <si>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</si>
  <si>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</si>
  <si>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</si>
  <si>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</si>
  <si>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</si>
  <si>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</si>
  <si>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</si>
  <si>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</si>
  <si>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</si>
  <si>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</si>
  <si>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</si>
  <si>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</si>
  <si>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</si>
  <si>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</si>
  <si>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</si>
  <si>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</si>
  <si>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</si>
  <si>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</si>
  <si>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</si>
  <si>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</si>
  <si>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</si>
  <si>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</si>
  <si>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</si>
  <si>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</si>
  <si>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</si>
  <si>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</si>
  <si>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</si>
  <si>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</si>
  <si>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</si>
  <si>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</si>
  <si>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</si>
  <si>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</si>
  <si>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</si>
  <si>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</si>
  <si>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</si>
  <si>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</si>
  <si>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</si>
  <si>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</si>
  <si>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</si>
  <si>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</si>
  <si>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</si>
  <si>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</si>
  <si>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</si>
  <si>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</si>
  <si>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</si>
  <si>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</si>
  <si>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</si>
  <si>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</si>
  <si>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</si>
  <si>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</si>
  <si>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</si>
  <si>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</si>
  <si>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</si>
  <si>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</si>
  <si>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</si>
  <si>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</si>
  <si>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</si>
  <si>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</si>
  <si>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</si>
  <si>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</si>
  <si>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</si>
  <si>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</si>
  <si>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</si>
  <si>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</si>
  <si>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</si>
  <si>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</si>
  <si>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</si>
  <si>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</si>
  <si>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</si>
  <si>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</si>
  <si>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</si>
  <si>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</si>
  <si>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</si>
  <si>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</si>
  <si>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</si>
  <si>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</si>
  <si>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</si>
  <si>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</si>
  <si>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</si>
  <si>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</si>
  <si>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</si>
  <si>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</si>
  <si>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</si>
  <si>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</si>
  <si>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</si>
  <si>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</si>
  <si>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</si>
  <si>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</si>
  <si>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</si>
  <si>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</si>
  <si>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</si>
  <si>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</si>
  <si>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</si>
  <si>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</si>
  <si>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</si>
  <si>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</si>
  <si>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</si>
  <si>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</si>
  <si>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</si>
  <si>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</si>
  <si>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</si>
  <si>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</si>
  <si>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</si>
  <si>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</si>
  <si>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</si>
  <si>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</si>
  <si>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</si>
  <si>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</si>
  <si>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</si>
  <si>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</si>
  <si>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</si>
  <si>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</si>
  <si>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</si>
  <si>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</si>
  <si>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</si>
  <si>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</si>
  <si>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</si>
  <si>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</si>
  <si>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</si>
  <si>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</si>
  <si>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</si>
  <si>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</si>
  <si>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</si>
  <si>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</si>
  <si>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</si>
  <si>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</si>
  <si>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</si>
  <si>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</si>
  <si>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</si>
  <si>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</si>
  <si>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</si>
  <si>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</si>
  <si>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</si>
  <si>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</si>
  <si>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</si>
  <si>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</si>
  <si>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</si>
  <si>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</si>
  <si>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</si>
  <si>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</si>
  <si>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</si>
  <si>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</si>
  <si>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</si>
  <si>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</si>
  <si>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</si>
  <si>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</si>
  <si>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</si>
  <si>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</si>
  <si>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</si>
  <si>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</si>
  <si>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</si>
  <si>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</si>
  <si>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</si>
  <si>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</si>
  <si>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</si>
  <si>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</si>
  <si>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</si>
  <si>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</si>
  <si>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</si>
  <si>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</si>
  <si>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</si>
  <si>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</si>
  <si>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</si>
  <si>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</si>
  <si>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</si>
  <si>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</si>
  <si>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</si>
  <si>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</si>
  <si>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</si>
  <si>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</si>
  <si>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</si>
  <si>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</si>
  <si>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</si>
  <si>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</si>
  <si>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</si>
  <si>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</si>
  <si>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</si>
  <si>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</si>
  <si>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</si>
  <si>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</si>
  <si>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</si>
  <si>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</si>
  <si>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</si>
  <si>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</si>
  <si>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</si>
  <si>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</si>
  <si>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</si>
  <si>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</si>
  <si>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</si>
  <si>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</si>
  <si>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</si>
  <si>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</si>
  <si>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</si>
  <si>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</si>
  <si>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</si>
  <si>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</si>
  <si>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</si>
  <si>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</si>
  <si>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</si>
  <si>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</si>
  <si>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</si>
  <si>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</si>
  <si>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</si>
  <si>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</si>
  <si>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</si>
  <si>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</si>
  <si>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</si>
  <si>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</si>
  <si>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</si>
  <si>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</si>
  <si>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</si>
  <si>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</si>
  <si>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</si>
  <si>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</si>
  <si>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</si>
  <si>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</si>
  <si>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</si>
  <si>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</si>
  <si>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</si>
  <si>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</si>
  <si>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</si>
  <si>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</si>
  <si>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</si>
  <si>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</si>
  <si>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</si>
  <si>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</si>
  <si>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</si>
  <si>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</si>
  <si>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</si>
  <si>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</si>
  <si>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</si>
  <si>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</si>
  <si>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</si>
  <si>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</si>
  <si>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</si>
  <si>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</si>
  <si>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</si>
  <si>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</si>
  <si>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</si>
  <si>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</si>
  <si>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</si>
  <si>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</si>
  <si>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</si>
  <si>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</si>
  <si>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</si>
  <si>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</si>
  <si>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</si>
  <si>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</si>
  <si>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</si>
  <si>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</si>
  <si>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</si>
  <si>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</si>
  <si>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</si>
  <si>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</si>
  <si>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</si>
  <si>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</si>
  <si>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</si>
  <si>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</si>
  <si>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</si>
  <si>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</si>
  <si>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</si>
  <si>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</si>
  <si>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</si>
  <si>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</si>
  <si>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</si>
  <si>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</si>
  <si>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</si>
  <si>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</si>
  <si>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</si>
  <si>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</si>
  <si>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</si>
  <si>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</si>
  <si>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</si>
  <si>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</si>
  <si>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</si>
  <si>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</si>
  <si>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</si>
  <si>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</si>
  <si>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</si>
  <si>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</si>
  <si>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</si>
  <si>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</si>
  <si>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</si>
  <si>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</si>
  <si>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</si>
  <si>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</si>
  <si>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</si>
  <si>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</si>
  <si>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</si>
  <si>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</si>
  <si>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</si>
  <si>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</si>
  <si>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</si>
  <si>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</si>
  <si>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</si>
  <si>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</si>
  <si>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</si>
  <si>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</si>
  <si>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</si>
  <si>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</si>
  <si>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</si>
  <si>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</si>
  <si>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</si>
  <si>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</si>
  <si>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</si>
  <si>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</si>
  <si>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</si>
  <si>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</si>
  <si>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</si>
  <si>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</si>
  <si>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</si>
  <si>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</si>
  <si>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</si>
  <si>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</si>
  <si>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</si>
  <si>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</si>
  <si>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</si>
  <si>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</si>
  <si>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</si>
  <si>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</si>
  <si>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</si>
  <si>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</si>
  <si>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</si>
  <si>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</si>
  <si>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</si>
  <si>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</si>
  <si>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</si>
  <si>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</si>
  <si>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</si>
  <si>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</si>
  <si>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</si>
  <si>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</si>
  <si>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</si>
  <si>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</si>
  <si>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</si>
  <si>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</si>
  <si>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</si>
  <si>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</si>
  <si>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</si>
  <si>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</si>
  <si>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</si>
  <si>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</si>
  <si>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</si>
  <si>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</si>
  <si>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</si>
  <si>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</si>
  <si>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</si>
  <si>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</si>
  <si>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</si>
  <si>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</si>
  <si>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</si>
  <si>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</si>
  <si>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</si>
  <si>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</si>
  <si>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</si>
  <si>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</si>
  <si>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</si>
  <si>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</si>
  <si>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</si>
  <si>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</si>
  <si>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</si>
  <si>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</si>
  <si>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</si>
  <si>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</si>
  <si>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</si>
  <si>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</si>
  <si>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</si>
  <si>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</si>
  <si>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</si>
  <si>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</si>
  <si>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</si>
  <si>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</si>
  <si>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</si>
  <si>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</si>
  <si>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</si>
  <si>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</si>
  <si>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</si>
  <si>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</si>
  <si>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</si>
  <si>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</si>
  <si>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</si>
  <si>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</si>
  <si>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</si>
  <si>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</si>
  <si>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</si>
  <si>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</si>
  <si>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</si>
  <si>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</si>
  <si>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</si>
  <si>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</si>
  <si>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</si>
  <si>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</si>
  <si>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</si>
  <si>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</si>
  <si>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</si>
  <si>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</si>
  <si>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</si>
  <si>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</si>
  <si>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</si>
  <si>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</si>
  <si>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</si>
  <si>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</si>
  <si>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</si>
  <si>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</si>
  <si>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</si>
  <si>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</si>
  <si>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</si>
  <si>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</si>
  <si>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</si>
  <si>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</si>
  <si>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</si>
  <si>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</si>
  <si>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</si>
  <si>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</si>
  <si>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</si>
  <si>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</si>
  <si>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</si>
  <si>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</si>
  <si>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</si>
  <si>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</si>
  <si>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</si>
  <si>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</si>
  <si>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</si>
  <si>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</si>
  <si>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</si>
  <si>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</si>
  <si>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</si>
  <si>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</si>
  <si>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</si>
  <si>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</si>
  <si>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</si>
  <si>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</si>
  <si>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</si>
  <si>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</si>
  <si>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</si>
  <si>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</si>
  <si>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</si>
  <si>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</si>
  <si>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</si>
  <si>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</si>
  <si>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</si>
  <si>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</si>
  <si>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</si>
  <si>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</si>
  <si>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</si>
  <si>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</si>
  <si>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</si>
  <si>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</si>
  <si>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</si>
  <si>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</si>
  <si>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</si>
  <si>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</si>
  <si>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</si>
  <si>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</si>
  <si>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</si>
  <si>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</si>
  <si>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</si>
  <si>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</si>
  <si>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</si>
  <si>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</si>
  <si>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</si>
  <si>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</si>
  <si>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</si>
  <si>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</si>
  <si>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</si>
  <si>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</si>
  <si>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</si>
  <si>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</si>
  <si>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</si>
  <si>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</si>
  <si>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</si>
  <si>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</si>
  <si>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</si>
  <si>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</si>
  <si>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</si>
  <si>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</si>
  <si>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</si>
  <si>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</si>
  <si>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</si>
  <si>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</si>
  <si>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</si>
  <si>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</si>
  <si>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</si>
  <si>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</si>
  <si>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</si>
  <si>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</si>
  <si>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</si>
  <si>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</si>
  <si>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</si>
  <si>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</si>
  <si>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</si>
  <si>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</si>
  <si>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</si>
  <si>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</si>
  <si>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</si>
  <si>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</si>
  <si>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</si>
  <si>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</si>
  <si>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</si>
  <si>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</si>
  <si>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</si>
  <si>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</si>
  <si>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</si>
  <si>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</si>
  <si>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</si>
  <si>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</si>
  <si>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</si>
  <si>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</si>
  <si>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</si>
  <si>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</si>
  <si>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</si>
  <si>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</si>
  <si>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</si>
  <si>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</si>
  <si>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</si>
  <si>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</si>
  <si>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</si>
  <si>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</si>
  <si>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</si>
  <si>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</si>
  <si>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</si>
  <si>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</si>
  <si>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</si>
  <si>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</si>
  <si>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</si>
  <si>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</si>
  <si>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</si>
  <si>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</si>
  <si>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</si>
  <si>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</si>
  <si>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</si>
  <si>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</si>
  <si>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</si>
  <si>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</si>
  <si>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</si>
  <si>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</si>
  <si>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</si>
  <si>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</si>
  <si>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</si>
  <si>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</si>
  <si>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</si>
  <si>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</si>
  <si>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</si>
  <si>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</si>
  <si>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</si>
  <si>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</si>
  <si>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</si>
  <si>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</si>
  <si>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</si>
  <si>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</si>
  <si>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</si>
  <si>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</si>
  <si>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</si>
  <si>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</si>
  <si>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</si>
  <si>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</si>
  <si>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</si>
  <si>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</si>
  <si>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</si>
  <si>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</si>
  <si>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</si>
  <si>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</si>
  <si>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</si>
  <si>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</si>
  <si>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</si>
  <si>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</si>
  <si>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</si>
  <si>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</si>
  <si>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</si>
  <si>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</si>
  <si>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</si>
  <si>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</si>
  <si>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</si>
  <si>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</si>
  <si>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</si>
  <si>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</si>
  <si>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</si>
  <si>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</si>
  <si>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</si>
  <si>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</si>
  <si>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</si>
  <si>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</si>
  <si>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</si>
  <si>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</si>
  <si>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</si>
  <si>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</si>
  <si>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</si>
  <si>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</si>
  <si>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</si>
  <si>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</si>
  <si>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</si>
  <si>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</si>
  <si>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</si>
  <si>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</si>
  <si>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</si>
  <si>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</si>
  <si>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</si>
  <si>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</si>
  <si>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</si>
  <si>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</si>
  <si>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</si>
  <si>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</si>
  <si>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</si>
  <si>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</si>
  <si>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</si>
  <si>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</si>
  <si>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</si>
  <si>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</si>
  <si>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</si>
  <si>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</si>
  <si>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</si>
  <si>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</si>
  <si>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</si>
  <si>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</si>
  <si>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</si>
  <si>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</si>
  <si>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</si>
  <si>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</si>
  <si>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</si>
  <si>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</si>
  <si>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</si>
  <si>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</si>
  <si>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</si>
  <si>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</si>
  <si>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</si>
  <si>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</si>
  <si>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</si>
  <si>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</si>
  <si>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</si>
  <si>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</si>
  <si>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</si>
  <si>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</si>
  <si>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</si>
  <si>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</si>
  <si>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</si>
  <si>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</si>
  <si>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</si>
  <si>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</si>
  <si>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</si>
  <si>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</si>
  <si>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</si>
  <si>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</si>
  <si>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</si>
  <si>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</si>
  <si>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</si>
  <si>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</si>
  <si>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</si>
  <si>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</si>
  <si>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</si>
  <si>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</si>
  <si>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</si>
  <si>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</si>
  <si>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</si>
  <si>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</si>
  <si>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</si>
  <si>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</si>
  <si>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</si>
  <si>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</si>
  <si>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</si>
  <si>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</si>
  <si>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</si>
  <si>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</si>
  <si>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</si>
  <si>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</si>
  <si>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</si>
  <si>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</si>
  <si>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</si>
  <si>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</si>
  <si>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</si>
  <si>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</si>
  <si>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</si>
  <si>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</si>
  <si>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</si>
  <si>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</si>
  <si>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</si>
  <si>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</si>
  <si>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</si>
  <si>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</si>
  <si>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</si>
  <si>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</si>
  <si>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</si>
  <si>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</si>
  <si>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</si>
  <si>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</si>
  <si>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</si>
  <si>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</si>
  <si>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</si>
  <si>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</si>
  <si>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</si>
  <si>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</si>
  <si>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</si>
  <si>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</si>
  <si>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</si>
  <si>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</si>
  <si>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</si>
  <si>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</si>
  <si>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</si>
  <si>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</si>
  <si>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</si>
  <si>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</si>
  <si>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</si>
  <si>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</si>
  <si>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</si>
  <si>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</si>
  <si>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</si>
  <si>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</si>
  <si>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</si>
  <si>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</si>
  <si>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</si>
  <si>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</si>
  <si>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</si>
  <si>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</si>
  <si>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</si>
  <si>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</si>
  <si>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</si>
  <si>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</si>
  <si>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</si>
  <si>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</si>
  <si>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</si>
  <si>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</si>
  <si>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</si>
  <si>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</si>
  <si>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</si>
  <si>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</si>
  <si>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</si>
  <si>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</si>
  <si>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</si>
  <si>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</si>
  <si>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</si>
  <si>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</si>
  <si>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</si>
  <si>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</si>
  <si>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</si>
  <si>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</si>
  <si>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</si>
  <si>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</si>
  <si>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</si>
  <si>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</si>
  <si>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</si>
  <si>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</si>
  <si>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</si>
  <si>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</si>
  <si>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</si>
  <si>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</si>
  <si>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</si>
  <si>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</si>
  <si>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</si>
  <si>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</si>
  <si>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</si>
  <si>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</si>
  <si>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</si>
  <si>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</si>
  <si>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</si>
  <si>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</si>
  <si>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</si>
  <si>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</si>
  <si>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</si>
  <si>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</si>
  <si>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</si>
  <si>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</si>
  <si>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</si>
  <si>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</si>
  <si>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</si>
  <si>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</si>
  <si>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</si>
  <si>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</si>
  <si>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</si>
  <si>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</si>
  <si>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</si>
  <si>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</si>
  <si>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</si>
  <si>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</si>
  <si>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</si>
  <si>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</si>
  <si>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</si>
  <si>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</si>
  <si>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</si>
  <si>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</si>
  <si>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</si>
  <si>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</si>
  <si>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</si>
  <si>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</si>
  <si>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</si>
  <si>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</si>
  <si>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</si>
  <si>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</si>
  <si>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</si>
  <si>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</si>
  <si>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</si>
  <si>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</si>
  <si>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</si>
  <si>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</si>
  <si>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</si>
  <si>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</si>
  <si>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</si>
  <si>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</si>
  <si>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</si>
  <si>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</si>
  <si>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</si>
  <si>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</si>
  <si>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</si>
  <si>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</si>
  <si>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</si>
  <si>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</si>
  <si>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</si>
  <si>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</si>
  <si>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</si>
  <si>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</si>
  <si>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</si>
  <si>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</si>
  <si>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</si>
  <si>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</si>
  <si>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</si>
  <si>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</si>
  <si>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</si>
  <si>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</si>
  <si>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</si>
  <si>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</si>
  <si>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</si>
  <si>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</si>
  <si>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</si>
  <si>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</si>
  <si>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</si>
  <si>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</si>
  <si>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</si>
  <si>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</si>
  <si>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</si>
  <si>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</si>
  <si>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</si>
  <si>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</si>
  <si>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</si>
  <si>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</si>
  <si>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</si>
  <si>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</si>
  <si>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</si>
  <si>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</si>
  <si>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</si>
  <si>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</si>
  <si>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</si>
  <si>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</si>
  <si>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</si>
  <si>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</si>
  <si>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</si>
  <si>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</si>
  <si>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</si>
  <si>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</si>
  <si>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</si>
  <si>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</si>
  <si>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</si>
  <si>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</si>
  <si>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</si>
  <si>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</si>
  <si>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</si>
  <si>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</si>
  <si>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</si>
  <si>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</si>
  <si>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</si>
  <si>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</si>
  <si>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</si>
  <si>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</si>
  <si>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</si>
  <si>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</si>
  <si>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</si>
  <si>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</si>
  <si>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</si>
  <si>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</si>
  <si>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</si>
  <si>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</si>
  <si>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</si>
  <si>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</si>
  <si>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</si>
  <si>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</si>
  <si>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</si>
  <si>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</si>
  <si>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</si>
  <si>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</si>
  <si>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</si>
  <si>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</si>
  <si>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</si>
  <si>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</si>
  <si>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</si>
  <si>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</si>
  <si>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</si>
  <si>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</si>
  <si>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</si>
  <si>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</si>
  <si>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</si>
  <si>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</si>
  <si>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</si>
  <si>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</si>
  <si>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</si>
  <si>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</si>
  <si>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</si>
  <si>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</si>
  <si>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</si>
  <si>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</si>
  <si>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</si>
  <si>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</si>
  <si>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</si>
  <si>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</si>
  <si>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</si>
  <si>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</si>
  <si>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</si>
  <si>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</si>
  <si>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</si>
  <si>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</si>
  <si>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</si>
  <si>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</si>
  <si>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</si>
  <si>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</si>
  <si>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</si>
  <si>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</si>
  <si>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</si>
  <si>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</si>
  <si>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</si>
  <si>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</si>
  <si>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</si>
  <si>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</si>
  <si>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</si>
  <si>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</si>
  <si>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</si>
  <si>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</si>
  <si>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</si>
  <si>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</si>
  <si>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</si>
  <si>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</si>
  <si>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</si>
  <si>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</si>
  <si>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</si>
  <si>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</si>
  <si>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</si>
  <si>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</si>
  <si>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</si>
  <si>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</si>
  <si>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</si>
  <si>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</si>
  <si>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</si>
  <si>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</si>
  <si>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</si>
  <si>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</si>
  <si>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</si>
  <si>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</si>
  <si>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</si>
  <si>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</si>
  <si>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</si>
  <si>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</si>
  <si>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</si>
  <si>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</si>
  <si>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</si>
  <si>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</si>
  <si>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</si>
  <si>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</si>
  <si>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</si>
  <si>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</si>
  <si>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</si>
  <si>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</si>
  <si>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</si>
  <si>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</si>
  <si>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</si>
  <si>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</si>
  <si>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</si>
  <si>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</si>
  <si>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</si>
  <si>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</si>
  <si>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</si>
  <si>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</si>
  <si>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</si>
  <si>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</si>
  <si>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</si>
  <si>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</si>
  <si>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</si>
  <si>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</si>
  <si>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</si>
  <si>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</si>
  <si>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</si>
  <si>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</si>
  <si>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</si>
  <si>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</si>
  <si>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</si>
  <si>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</si>
  <si>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</si>
  <si>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</si>
  <si>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</si>
  <si>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</si>
  <si>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</si>
  <si>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</si>
  <si>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</si>
  <si>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</si>
  <si>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</si>
  <si>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</si>
  <si>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</si>
  <si>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</si>
  <si>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</si>
  <si>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</si>
  <si>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</si>
  <si>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</si>
  <si>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</si>
  <si>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</si>
  <si>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</si>
  <si>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</si>
  <si>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</si>
  <si>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</si>
  <si>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</si>
  <si>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</si>
  <si>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</si>
  <si>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</si>
  <si>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</si>
  <si>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</si>
  <si>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</si>
  <si>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</si>
  <si>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</si>
  <si>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</si>
  <si>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</si>
  <si>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</si>
  <si>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</si>
  <si>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</si>
  <si>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</si>
  <si>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</si>
  <si>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</si>
  <si>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</si>
  <si>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</si>
  <si>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</si>
  <si>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</si>
  <si>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</si>
  <si>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</si>
  <si>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</si>
  <si>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</si>
  <si>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</si>
  <si>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</si>
  <si>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</si>
  <si>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</si>
  <si>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</si>
  <si>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</si>
  <si>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</si>
  <si>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</si>
  <si>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</si>
  <si>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</si>
  <si>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</si>
  <si>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</si>
  <si>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</si>
  <si>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</si>
  <si>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</si>
  <si>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</si>
  <si>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</si>
  <si>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</si>
  <si>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</si>
  <si>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</si>
  <si>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</si>
  <si>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</si>
  <si>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</si>
  <si>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</si>
  <si>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</si>
  <si>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</si>
  <si>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</si>
  <si>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</si>
  <si>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</si>
  <si>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</si>
  <si>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</si>
  <si>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</si>
  <si>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</si>
  <si>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</si>
  <si>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</si>
  <si>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</si>
  <si>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</si>
  <si>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</si>
  <si>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</si>
  <si>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</si>
  <si>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</si>
  <si>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</si>
  <si>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</si>
  <si>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</si>
  <si>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</si>
  <si>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</si>
  <si>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</si>
  <si>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</si>
  <si>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</si>
  <si>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</si>
  <si>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</si>
  <si>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</si>
  <si>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</si>
  <si>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</si>
  <si>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</si>
  <si>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</si>
  <si>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</si>
  <si>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</si>
  <si>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</si>
  <si>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</si>
  <si>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</si>
  <si>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</si>
  <si>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</si>
  <si>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</si>
  <si>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</si>
  <si>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</si>
  <si>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</si>
  <si>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</si>
  <si>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</si>
  <si>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</si>
  <si>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</si>
  <si>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</si>
  <si>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</si>
  <si>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</si>
  <si>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</si>
  <si>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</si>
  <si>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</si>
  <si>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</si>
  <si>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</si>
  <si>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</si>
  <si>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</si>
  <si>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</si>
  <si>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</si>
  <si>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</si>
  <si>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</si>
  <si>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</si>
  <si>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</si>
  <si>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</si>
  <si>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</si>
  <si>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</si>
  <si>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</si>
  <si>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</si>
  <si>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</si>
  <si>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</si>
  <si>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</si>
  <si>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</si>
  <si>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</si>
  <si>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</si>
  <si>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</si>
  <si>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</si>
  <si>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</si>
  <si>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</si>
  <si>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</si>
  <si>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</si>
  <si>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</si>
  <si>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</si>
  <si>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</si>
  <si>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</si>
  <si>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</si>
  <si>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</si>
  <si>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</si>
  <si>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</si>
  <si>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</si>
  <si>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</si>
  <si>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</si>
  <si>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</si>
  <si>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</si>
  <si>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</si>
  <si>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</si>
  <si>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</si>
  <si>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</si>
  <si>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</si>
  <si>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</si>
  <si>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</si>
  <si>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</si>
  <si>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</si>
  <si>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</si>
  <si>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</si>
  <si>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</si>
  <si>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</si>
  <si>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</si>
  <si>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</si>
  <si>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</si>
  <si>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</si>
  <si>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</si>
  <si>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</si>
  <si>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</si>
  <si>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</si>
  <si>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</si>
  <si>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</si>
  <si>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</si>
  <si>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</si>
  <si>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</si>
  <si>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</si>
  <si>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</si>
  <si>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</si>
  <si>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</si>
  <si>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</si>
  <si>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</si>
  <si>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</si>
  <si>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</si>
  <si>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</si>
  <si>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</si>
  <si>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</si>
  <si>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</si>
  <si>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</si>
  <si>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</si>
  <si>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</si>
  <si>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</si>
  <si>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</si>
  <si>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</si>
  <si>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</si>
  <si>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</si>
  <si>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</si>
  <si>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</si>
  <si>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</si>
  <si>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</si>
  <si>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</si>
  <si>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</si>
  <si>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</si>
  <si>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</si>
  <si>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</si>
  <si>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</si>
  <si>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</si>
  <si>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</si>
  <si>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</si>
  <si>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</si>
  <si>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</si>
  <si>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</si>
  <si>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</si>
  <si>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</si>
  <si>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</si>
  <si>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</si>
  <si>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</si>
  <si>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</si>
  <si>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</si>
  <si>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</si>
  <si>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</si>
  <si>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</si>
  <si>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</si>
  <si>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</si>
  <si>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</si>
  <si>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</si>
  <si>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</si>
  <si>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</si>
  <si>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</si>
  <si>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</si>
  <si>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</si>
  <si>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</si>
  <si>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</si>
  <si>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</si>
  <si>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</si>
  <si>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</si>
  <si>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</si>
  <si>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</si>
  <si>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</si>
  <si>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</si>
  <si>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</si>
  <si>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</si>
  <si>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</si>
  <si>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</si>
  <si>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</si>
  <si>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</si>
  <si>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</si>
  <si>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</si>
  <si>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</si>
  <si>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</si>
  <si>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</si>
  <si>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</si>
  <si>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</si>
  <si>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</si>
  <si>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</si>
  <si>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</si>
  <si>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</si>
  <si>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</si>
  <si>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</si>
  <si>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</si>
  <si>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</si>
  <si>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</si>
  <si>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</si>
  <si>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</si>
  <si>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</si>
  <si>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</si>
  <si>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</si>
  <si>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</si>
  <si>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</si>
  <si>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</si>
  <si>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</si>
  <si>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</si>
  <si>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</si>
  <si>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</si>
  <si>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</si>
  <si>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</si>
  <si>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</si>
  <si>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</si>
  <si>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</si>
  <si>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</si>
  <si>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</si>
  <si>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</si>
  <si>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</si>
  <si>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</si>
  <si>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</si>
  <si>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</si>
  <si>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</si>
  <si>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</si>
  <si>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</si>
  <si>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</si>
  <si>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</si>
  <si>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</si>
  <si>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</si>
  <si>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</si>
  <si>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</si>
  <si>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</si>
  <si>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</si>
  <si>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</si>
  <si>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</si>
  <si>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</si>
  <si>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</si>
  <si>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</si>
  <si>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</si>
  <si>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</si>
  <si>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</si>
  <si>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</si>
  <si>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</si>
  <si>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</si>
  <si>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</si>
  <si>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</si>
  <si>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</si>
  <si>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</si>
  <si>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</si>
  <si>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</si>
  <si>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</si>
  <si>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</si>
  <si>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</si>
  <si>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</si>
  <si>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</si>
  <si>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</si>
  <si>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</si>
  <si>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</si>
  <si>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</si>
  <si>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</si>
  <si>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</si>
  <si>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</si>
  <si>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</si>
  <si>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</si>
  <si>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</si>
  <si>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</si>
  <si>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</si>
  <si>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</si>
  <si>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</si>
  <si>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</si>
  <si>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</si>
  <si>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</si>
  <si>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</si>
  <si>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</si>
  <si>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</si>
  <si>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</si>
  <si>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</si>
  <si>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</si>
  <si>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</si>
  <si>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</si>
  <si>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</si>
  <si>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</si>
  <si>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</si>
  <si>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</si>
  <si>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</si>
  <si>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</si>
  <si>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</si>
  <si>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</si>
  <si>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</si>
  <si>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</si>
  <si>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</si>
  <si>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</si>
  <si>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</si>
  <si>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</si>
  <si>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</si>
  <si>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</si>
  <si>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</si>
  <si>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</si>
  <si>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</si>
  <si>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</si>
  <si>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</si>
  <si>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</si>
  <si>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</si>
  <si>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</si>
  <si>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</si>
  <si>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</si>
  <si>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</si>
  <si>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</si>
  <si>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</si>
  <si>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</si>
  <si>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</si>
  <si>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</si>
  <si>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</si>
  <si>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</si>
  <si>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</si>
  <si>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</si>
  <si>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</si>
  <si>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</si>
  <si>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</si>
  <si>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</si>
  <si>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</si>
  <si>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</si>
  <si>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</si>
  <si>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</si>
  <si>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</si>
  <si>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</si>
  <si>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</si>
  <si>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</si>
  <si>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</si>
  <si>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</si>
  <si>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</si>
  <si>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</si>
  <si>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</si>
  <si>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</si>
  <si>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</si>
  <si>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</si>
  <si>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</si>
  <si>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</si>
  <si>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</si>
  <si>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</si>
  <si>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</si>
  <si>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</si>
  <si>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</si>
  <si>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</si>
  <si>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</si>
  <si>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</si>
  <si>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</si>
  <si>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</si>
  <si>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</si>
  <si>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</si>
  <si>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</si>
  <si>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</si>
  <si>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</si>
  <si>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</si>
  <si>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</si>
  <si>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</si>
  <si>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</si>
  <si>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</si>
  <si>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</si>
  <si>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</si>
  <si>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</si>
  <si>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</si>
  <si>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</si>
  <si>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</si>
  <si>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</si>
  <si>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</si>
  <si>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</si>
  <si>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</si>
  <si>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</si>
  <si>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</si>
  <si>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</si>
  <si>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</si>
  <si>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</si>
  <si>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</si>
  <si>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</si>
  <si>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</si>
  <si>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</si>
  <si>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</si>
  <si>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</si>
  <si>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</si>
  <si>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</si>
  <si>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</si>
  <si>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</si>
  <si>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</si>
  <si>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</si>
  <si>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</si>
  <si>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</si>
  <si>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</si>
  <si>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</si>
  <si>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</si>
  <si>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</si>
  <si>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</si>
  <si>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</si>
  <si>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</si>
  <si>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</si>
  <si>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</si>
  <si>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</si>
  <si>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</si>
  <si>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</si>
  <si>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</si>
  <si>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</si>
  <si>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</si>
  <si>
    <t>5/4/1400</t>
  </si>
  <si>
    <t>پارس 5248 تا 15400</t>
  </si>
  <si>
    <t>ومهان 32505 تا 1292.1</t>
  </si>
  <si>
    <t>وغدیر 52982 تا 1028</t>
  </si>
  <si>
    <t>پارسان 170 تا 1711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</si>
</sst>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zoomScale="85" zoomScaleNormal="85" workbookViewId="0">
      <selection activeCell="M29" sqref="M29"/>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6527</v>
      </c>
      <c r="G1" s="207" t="s">
        <v>6528</v>
      </c>
      <c r="H1" s="207" t="s">
        <v>6529</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6524</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6523</v>
      </c>
      <c r="B31" s="321" t="s">
        <v>4835</v>
      </c>
      <c r="C31" s="321" t="s">
        <v>6517</v>
      </c>
      <c r="D31" s="321" t="s">
        <v>5532</v>
      </c>
      <c r="E31" s="321" t="s">
        <v>6516</v>
      </c>
      <c r="F31" s="321" t="s">
        <v>6526</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6515</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6518</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6519</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6520</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737</v>
      </c>
      <c r="S35" s="97">
        <f t="shared" si="12"/>
        <v>1474000000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6521</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6522</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728</v>
      </c>
      <c r="S37" s="97">
        <f t="shared" si="12"/>
        <v>145600000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6525</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5802</v>
      </c>
      <c r="B56" s="18">
        <f>B53*B54/B55</f>
        <v>600</v>
      </c>
      <c r="E56" s="94"/>
      <c r="F56" s="94"/>
      <c r="G56" s="94"/>
      <c r="O56" s="97" t="s">
        <v>5074</v>
      </c>
      <c r="P56" s="18">
        <v>100000</v>
      </c>
      <c r="Q56" s="97">
        <v>1</v>
      </c>
      <c r="R56" s="97">
        <f t="shared" si="11"/>
        <v>640</v>
      </c>
      <c r="S56" s="97">
        <f t="shared" si="12"/>
        <v>64000000</v>
      </c>
      <c r="T56" s="97"/>
      <c r="U56" s="94"/>
      <c r="V56" s="94"/>
    </row>
    <row r="57" spans="1:32">
      <c r="A57" s="120" t="s">
        <v>5803</v>
      </c>
      <c r="B57" s="120">
        <v>872000000</v>
      </c>
      <c r="E57" s="94"/>
      <c r="F57" s="94"/>
      <c r="G57" s="94"/>
      <c r="O57" s="97" t="s">
        <v>5077</v>
      </c>
      <c r="P57" s="18">
        <v>-1727718</v>
      </c>
      <c r="Q57" s="97">
        <v>2</v>
      </c>
      <c r="R57" s="97">
        <f t="shared" si="11"/>
        <v>639</v>
      </c>
      <c r="S57" s="97">
        <f t="shared" si="12"/>
        <v>-1104011802</v>
      </c>
      <c r="T57" s="97"/>
      <c r="U57" s="94"/>
      <c r="V57" s="94"/>
    </row>
    <row r="58" spans="1:32">
      <c r="A58" s="120" t="s">
        <v>5804</v>
      </c>
      <c r="B58" s="18">
        <v>750</v>
      </c>
      <c r="E58" s="94"/>
      <c r="F58" s="94"/>
      <c r="O58" s="97" t="s">
        <v>5081</v>
      </c>
      <c r="P58" s="18">
        <v>-1000000</v>
      </c>
      <c r="Q58" s="97">
        <v>0</v>
      </c>
      <c r="R58" s="97">
        <f t="shared" si="11"/>
        <v>637</v>
      </c>
      <c r="S58" s="97">
        <f t="shared" si="12"/>
        <v>-637000000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5827</v>
      </c>
      <c r="B73" s="94"/>
      <c r="E73" s="94"/>
      <c r="F73" s="94"/>
      <c r="K73" t="s">
        <v>25</v>
      </c>
      <c r="O73" s="97" t="s">
        <v>5234</v>
      </c>
      <c r="P73" s="18">
        <v>-1500000</v>
      </c>
      <c r="Q73" s="97">
        <v>15</v>
      </c>
      <c r="R73" s="97">
        <f t="shared" si="11"/>
        <v>526</v>
      </c>
      <c r="S73" s="97">
        <f t="shared" si="12"/>
        <v>-789000000</v>
      </c>
      <c r="T73" s="97"/>
    </row>
    <row r="74" spans="1:22">
      <c r="A74" s="94" t="s">
        <v>5819</v>
      </c>
      <c r="B74" s="94"/>
      <c r="E74" s="94"/>
      <c r="F74" s="94"/>
      <c r="O74" s="97" t="s">
        <v>5257</v>
      </c>
      <c r="P74" s="18">
        <v>-100000</v>
      </c>
      <c r="Q74" s="97">
        <v>5</v>
      </c>
      <c r="R74" s="97">
        <f t="shared" si="11"/>
        <v>511</v>
      </c>
      <c r="S74" s="97">
        <f t="shared" si="12"/>
        <v>-51100000</v>
      </c>
      <c r="T74" s="97"/>
    </row>
    <row r="75" spans="1:22">
      <c r="A75" s="94" t="s">
        <v>5820</v>
      </c>
      <c r="B75" s="94"/>
      <c r="E75" s="94"/>
      <c r="F75" s="94"/>
      <c r="O75" s="97" t="s">
        <v>5261</v>
      </c>
      <c r="P75" s="18">
        <v>1164690</v>
      </c>
      <c r="Q75" s="97">
        <v>4</v>
      </c>
      <c r="R75" s="97">
        <f t="shared" si="11"/>
        <v>506</v>
      </c>
      <c r="S75" s="97">
        <f t="shared" si="12"/>
        <v>589333140</v>
      </c>
      <c r="T75" s="97"/>
      <c r="U75" t="s">
        <v>25</v>
      </c>
    </row>
    <row r="76" spans="1:22">
      <c r="A76" t="s">
        <v>5828</v>
      </c>
      <c r="B76" s="94"/>
      <c r="E76" s="94"/>
      <c r="F76" s="94"/>
      <c r="O76" s="97" t="s">
        <v>5270</v>
      </c>
      <c r="P76" s="18">
        <v>1000000</v>
      </c>
      <c r="Q76" s="97">
        <v>4</v>
      </c>
      <c r="R76" s="97">
        <f t="shared" si="11"/>
        <v>502</v>
      </c>
      <c r="S76" s="97">
        <f t="shared" si="12"/>
        <v>502000000</v>
      </c>
      <c r="T76" s="97"/>
    </row>
    <row r="77" spans="1:22">
      <c r="A77" t="s">
        <v>5502</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5822</v>
      </c>
      <c r="B80" s="94"/>
      <c r="C80" s="94" t="s">
        <v>25</v>
      </c>
      <c r="E80" s="94"/>
      <c r="F80" s="94"/>
      <c r="O80" s="97" t="s">
        <v>5295</v>
      </c>
      <c r="P80" s="18">
        <v>-75616</v>
      </c>
      <c r="Q80" s="97">
        <v>2</v>
      </c>
      <c r="R80" s="97">
        <f t="shared" si="11"/>
        <v>490</v>
      </c>
      <c r="S80" s="97">
        <f t="shared" si="12"/>
        <v>-37051840</v>
      </c>
      <c r="T80" s="97" t="s">
        <v>5296</v>
      </c>
    </row>
    <row r="81" spans="1:23">
      <c r="A81" s="94" t="s">
        <v>5823</v>
      </c>
      <c r="B81" s="94"/>
      <c r="E81" s="94"/>
      <c r="F81" s="94"/>
      <c r="O81" s="97" t="s">
        <v>963</v>
      </c>
      <c r="P81" s="18">
        <v>-2424384</v>
      </c>
      <c r="Q81" s="97">
        <v>2</v>
      </c>
      <c r="R81" s="97">
        <f t="shared" si="11"/>
        <v>488</v>
      </c>
      <c r="S81" s="97">
        <f t="shared" si="12"/>
        <v>-1183099392</v>
      </c>
      <c r="T81" s="97"/>
      <c r="W81" t="s">
        <v>25</v>
      </c>
    </row>
    <row r="82" spans="1:23">
      <c r="A82" t="s">
        <v>5839</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5821</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5832</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5833</v>
      </c>
      <c r="B92" s="94"/>
      <c r="E92" s="94"/>
      <c r="F92" s="94"/>
      <c r="O92" s="97" t="s">
        <v>5411</v>
      </c>
      <c r="P92" s="18">
        <v>-1000000</v>
      </c>
      <c r="Q92" s="97">
        <v>25</v>
      </c>
      <c r="R92" s="97">
        <f t="shared" si="11"/>
        <v>426</v>
      </c>
      <c r="S92" s="97">
        <f t="shared" si="12"/>
        <v>-426000000</v>
      </c>
      <c r="T92" s="97"/>
    </row>
    <row r="93" spans="1:23">
      <c r="A93" s="94" t="s">
        <v>5834</v>
      </c>
      <c r="B93" s="94"/>
      <c r="E93" s="94"/>
      <c r="F93" s="94"/>
      <c r="O93" s="97" t="s">
        <v>5440</v>
      </c>
      <c r="P93" s="18">
        <v>300000</v>
      </c>
      <c r="Q93" s="97">
        <v>3</v>
      </c>
      <c r="R93" s="97">
        <f t="shared" si="11"/>
        <v>401</v>
      </c>
      <c r="S93" s="97">
        <f t="shared" si="12"/>
        <v>120300000</v>
      </c>
      <c r="T93" s="97"/>
    </row>
    <row r="94" spans="1:23">
      <c r="A94" s="94" t="s">
        <v>5835</v>
      </c>
      <c r="B94" s="94"/>
      <c r="E94" s="94"/>
      <c r="F94" s="94"/>
      <c r="O94" s="97" t="s">
        <v>5445</v>
      </c>
      <c r="P94" s="18">
        <v>-300000</v>
      </c>
      <c r="Q94" s="97">
        <v>9</v>
      </c>
      <c r="R94" s="97">
        <f t="shared" si="11"/>
        <v>398</v>
      </c>
      <c r="S94" s="97">
        <f t="shared" si="12"/>
        <v>-119400000</v>
      </c>
      <c r="T94" s="97"/>
    </row>
    <row r="95" spans="1:23">
      <c r="A95" s="94" t="s">
        <v>4483</v>
      </c>
      <c r="B95" s="94"/>
      <c r="E95" s="94"/>
      <c r="F95" s="94"/>
      <c r="O95" s="97" t="s">
        <v>5460</v>
      </c>
      <c r="P95" s="18">
        <v>1000000</v>
      </c>
      <c r="Q95" s="97">
        <v>24</v>
      </c>
      <c r="R95" s="97">
        <f t="shared" si="11"/>
        <v>389</v>
      </c>
      <c r="S95" s="97">
        <f t="shared" si="12"/>
        <v>389000000</v>
      </c>
      <c r="T95" s="97"/>
      <c r="W95" t="s">
        <v>25</v>
      </c>
    </row>
    <row r="96" spans="1:23">
      <c r="A96" s="94" t="s">
        <v>4559</v>
      </c>
      <c r="B96" s="94" t="s">
        <v>25</v>
      </c>
      <c r="E96" s="94"/>
      <c r="F96" s="94"/>
      <c r="O96" s="97" t="s">
        <v>5497</v>
      </c>
      <c r="P96" s="18">
        <v>-1380100</v>
      </c>
      <c r="Q96" s="97">
        <v>11</v>
      </c>
      <c r="R96" s="97">
        <f t="shared" si="11"/>
        <v>365</v>
      </c>
      <c r="S96" s="97">
        <f t="shared" si="12"/>
        <v>-503736500</v>
      </c>
      <c r="T96" s="97"/>
    </row>
    <row r="97" spans="1:28">
      <c r="A97" s="94" t="s">
        <v>4719</v>
      </c>
      <c r="B97" s="94"/>
      <c r="E97" s="94"/>
      <c r="F97" s="94"/>
      <c r="O97" s="97" t="s">
        <v>5511</v>
      </c>
      <c r="P97" s="18">
        <v>1280015</v>
      </c>
      <c r="Q97" s="97">
        <v>0</v>
      </c>
      <c r="R97" s="97">
        <f t="shared" ref="R97:R151" si="17">Q97+R98</f>
        <v>354</v>
      </c>
      <c r="S97" s="97">
        <f t="shared" ref="S97:S150" si="18">P97*R97</f>
        <v>453125310</v>
      </c>
      <c r="T97" s="97"/>
    </row>
    <row r="98" spans="1:28">
      <c r="A98" s="94" t="s">
        <v>4661</v>
      </c>
      <c r="B98" s="94"/>
      <c r="E98" s="94"/>
      <c r="F98" s="94"/>
      <c r="M98" t="s">
        <v>25</v>
      </c>
      <c r="O98" s="97" t="s">
        <v>5511</v>
      </c>
      <c r="P98" s="18">
        <v>300000</v>
      </c>
      <c r="Q98" s="97">
        <v>7</v>
      </c>
      <c r="R98" s="97">
        <f t="shared" si="17"/>
        <v>354</v>
      </c>
      <c r="S98" s="97">
        <f t="shared" si="18"/>
        <v>106200000</v>
      </c>
      <c r="T98" s="97"/>
    </row>
    <row r="99" spans="1:28">
      <c r="A99" s="94"/>
      <c r="B99" s="94"/>
      <c r="E99" s="94"/>
      <c r="F99" s="94"/>
      <c r="L99" s="112"/>
      <c r="O99" s="97" t="s">
        <v>5518</v>
      </c>
      <c r="P99" s="18">
        <v>3000000</v>
      </c>
      <c r="Q99" s="97">
        <v>3</v>
      </c>
      <c r="R99" s="97">
        <f t="shared" si="17"/>
        <v>347</v>
      </c>
      <c r="S99" s="97">
        <f t="shared" si="18"/>
        <v>1041000000</v>
      </c>
      <c r="T99" s="97"/>
      <c r="AB99" t="s">
        <v>25</v>
      </c>
    </row>
    <row r="100" spans="1:28">
      <c r="A100" s="94"/>
      <c r="B100" s="94"/>
      <c r="E100" s="94"/>
      <c r="F100" s="94"/>
      <c r="O100" s="97" t="s">
        <v>5537</v>
      </c>
      <c r="P100" s="18">
        <v>300000</v>
      </c>
      <c r="Q100" s="97">
        <v>8</v>
      </c>
      <c r="R100" s="97">
        <f t="shared" si="17"/>
        <v>344</v>
      </c>
      <c r="S100" s="97">
        <f t="shared" si="18"/>
        <v>103200000</v>
      </c>
      <c r="T100" s="97"/>
    </row>
    <row r="101" spans="1:28">
      <c r="B101" s="94"/>
      <c r="E101" s="94"/>
      <c r="F101" s="94"/>
      <c r="O101" s="97" t="s">
        <v>5558</v>
      </c>
      <c r="P101" s="18">
        <v>-3500000</v>
      </c>
      <c r="Q101" s="97">
        <v>6</v>
      </c>
      <c r="R101" s="97">
        <f t="shared" si="17"/>
        <v>336</v>
      </c>
      <c r="S101" s="97">
        <f t="shared" si="18"/>
        <v>-1176000000</v>
      </c>
      <c r="T101" s="97"/>
    </row>
    <row r="102" spans="1:28">
      <c r="A102" s="94" t="s">
        <v>5826</v>
      </c>
      <c r="E102" s="94"/>
      <c r="F102" s="94"/>
      <c r="O102" s="97" t="s">
        <v>5563</v>
      </c>
      <c r="P102" s="18">
        <v>-70000</v>
      </c>
      <c r="Q102" s="97">
        <v>1</v>
      </c>
      <c r="R102" s="97">
        <f t="shared" si="17"/>
        <v>330</v>
      </c>
      <c r="S102" s="97">
        <f t="shared" si="18"/>
        <v>-23100000</v>
      </c>
      <c r="T102" s="97"/>
    </row>
    <row r="103" spans="1:28">
      <c r="A103" s="94" t="s">
        <v>5824</v>
      </c>
      <c r="E103" s="94"/>
      <c r="F103" s="94"/>
      <c r="O103" s="97" t="s">
        <v>5567</v>
      </c>
      <c r="P103" s="18">
        <v>70085</v>
      </c>
      <c r="Q103" s="97">
        <v>7</v>
      </c>
      <c r="R103" s="97">
        <f t="shared" si="17"/>
        <v>329</v>
      </c>
      <c r="S103" s="97">
        <f t="shared" si="18"/>
        <v>23057965</v>
      </c>
      <c r="T103" s="97" t="s">
        <v>5568</v>
      </c>
    </row>
    <row r="104" spans="1:28">
      <c r="A104" s="94" t="s">
        <v>5825</v>
      </c>
      <c r="E104" s="94"/>
      <c r="F104" s="94"/>
      <c r="O104" s="97" t="s">
        <v>5574</v>
      </c>
      <c r="P104" s="18">
        <v>-1000000</v>
      </c>
      <c r="Q104" s="97">
        <v>31</v>
      </c>
      <c r="R104" s="97">
        <f t="shared" si="17"/>
        <v>322</v>
      </c>
      <c r="S104" s="97">
        <f t="shared" si="18"/>
        <v>-322000000</v>
      </c>
      <c r="T104" s="97"/>
    </row>
    <row r="105" spans="1:28">
      <c r="A105" s="94" t="s">
        <v>5836</v>
      </c>
      <c r="E105" s="94"/>
      <c r="F105" s="94"/>
      <c r="O105" s="97" t="s">
        <v>5603</v>
      </c>
      <c r="P105" s="18">
        <v>6000000</v>
      </c>
      <c r="Q105" s="97">
        <v>1</v>
      </c>
      <c r="R105" s="97">
        <f t="shared" si="17"/>
        <v>291</v>
      </c>
      <c r="S105" s="97">
        <f t="shared" si="18"/>
        <v>1746000000</v>
      </c>
      <c r="T105" s="97"/>
      <c r="U105" t="s">
        <v>25</v>
      </c>
    </row>
    <row r="106" spans="1:28">
      <c r="A106" s="94" t="s">
        <v>5837</v>
      </c>
      <c r="E106" s="94"/>
      <c r="F106" s="94"/>
      <c r="O106" s="97" t="s">
        <v>5604</v>
      </c>
      <c r="P106" s="18">
        <v>6000000</v>
      </c>
      <c r="Q106" s="97">
        <v>11</v>
      </c>
      <c r="R106" s="97">
        <f t="shared" si="17"/>
        <v>290</v>
      </c>
      <c r="S106" s="97">
        <f t="shared" si="18"/>
        <v>1740000000</v>
      </c>
      <c r="T106" s="97"/>
    </row>
    <row r="107" spans="1:28">
      <c r="A107" s="94" t="s">
        <v>5838</v>
      </c>
      <c r="O107" s="97" t="s">
        <v>5619</v>
      </c>
      <c r="P107" s="18">
        <v>48000000</v>
      </c>
      <c r="Q107" s="97">
        <v>8</v>
      </c>
      <c r="R107" s="97">
        <f t="shared" si="17"/>
        <v>279</v>
      </c>
      <c r="S107" s="97">
        <f t="shared" si="18"/>
        <v>13392000000</v>
      </c>
      <c r="T107" s="97"/>
    </row>
    <row r="108" spans="1:28">
      <c r="A108" s="94"/>
      <c r="O108" s="97" t="s">
        <v>5636</v>
      </c>
      <c r="P108" s="18">
        <v>-400000</v>
      </c>
      <c r="Q108" s="97">
        <v>23</v>
      </c>
      <c r="R108" s="97">
        <f t="shared" si="17"/>
        <v>271</v>
      </c>
      <c r="S108" s="97">
        <f t="shared" si="18"/>
        <v>-108400000</v>
      </c>
      <c r="T108" s="97"/>
    </row>
    <row r="109" spans="1:28">
      <c r="A109" s="94" t="s">
        <v>5829</v>
      </c>
      <c r="O109" s="97" t="s">
        <v>5673</v>
      </c>
      <c r="P109" s="18">
        <v>500000</v>
      </c>
      <c r="Q109" s="97">
        <v>4</v>
      </c>
      <c r="R109" s="97">
        <f t="shared" si="17"/>
        <v>248</v>
      </c>
      <c r="S109" s="97">
        <f t="shared" si="18"/>
        <v>124000000</v>
      </c>
      <c r="T109" s="97"/>
    </row>
    <row r="110" spans="1:28">
      <c r="A110" t="s">
        <v>5830</v>
      </c>
      <c r="O110" s="97" t="s">
        <v>5677</v>
      </c>
      <c r="P110" s="18">
        <v>-500000</v>
      </c>
      <c r="Q110" s="97">
        <v>48</v>
      </c>
      <c r="R110" s="97">
        <f t="shared" si="17"/>
        <v>244</v>
      </c>
      <c r="S110" s="97">
        <f t="shared" si="18"/>
        <v>-122000000</v>
      </c>
      <c r="T110" s="97"/>
      <c r="V110" t="s">
        <v>25</v>
      </c>
    </row>
    <row r="111" spans="1:28">
      <c r="A111" s="94" t="s">
        <v>5831</v>
      </c>
      <c r="O111" s="97" t="s">
        <v>5736</v>
      </c>
      <c r="P111" s="18">
        <v>2000000</v>
      </c>
      <c r="Q111" s="97">
        <v>11</v>
      </c>
      <c r="R111" s="97">
        <f t="shared" si="17"/>
        <v>196</v>
      </c>
      <c r="S111" s="97">
        <f t="shared" si="18"/>
        <v>392000000</v>
      </c>
      <c r="T111" s="97"/>
    </row>
    <row r="112" spans="1:28">
      <c r="A112" s="94"/>
      <c r="O112" s="97" t="s">
        <v>5750</v>
      </c>
      <c r="P112" s="18">
        <v>-2000000</v>
      </c>
      <c r="Q112" s="97">
        <v>1</v>
      </c>
      <c r="R112" s="97">
        <f t="shared" si="17"/>
        <v>185</v>
      </c>
      <c r="S112" s="97">
        <f t="shared" si="18"/>
        <v>-370000000</v>
      </c>
      <c r="T112" s="97"/>
      <c r="V112" t="s">
        <v>25</v>
      </c>
    </row>
    <row r="113" spans="1:25">
      <c r="O113" s="97" t="s">
        <v>5752</v>
      </c>
      <c r="P113" s="18">
        <v>-42203</v>
      </c>
      <c r="Q113" s="97">
        <v>2</v>
      </c>
      <c r="R113" s="97">
        <f t="shared" si="17"/>
        <v>184</v>
      </c>
      <c r="S113" s="97">
        <f t="shared" si="18"/>
        <v>-7765352</v>
      </c>
      <c r="T113" s="97" t="s">
        <v>5757</v>
      </c>
    </row>
    <row r="114" spans="1:25">
      <c r="A114" s="94"/>
      <c r="O114" s="97" t="s">
        <v>5760</v>
      </c>
      <c r="P114" s="18">
        <v>-365000</v>
      </c>
      <c r="Q114" s="97">
        <v>5</v>
      </c>
      <c r="R114" s="97">
        <f t="shared" si="17"/>
        <v>182</v>
      </c>
      <c r="S114" s="97">
        <f t="shared" si="18"/>
        <v>-66430000</v>
      </c>
      <c r="T114" s="97" t="s">
        <v>5761</v>
      </c>
    </row>
    <row r="115" spans="1:25">
      <c r="A115" s="94"/>
      <c r="O115" s="97" t="s">
        <v>5767</v>
      </c>
      <c r="P115" s="18">
        <v>12000000</v>
      </c>
      <c r="Q115" s="97">
        <v>9</v>
      </c>
      <c r="R115" s="97">
        <f t="shared" si="17"/>
        <v>177</v>
      </c>
      <c r="S115" s="97">
        <f t="shared" si="18"/>
        <v>2124000000</v>
      </c>
      <c r="T115" s="97" t="s">
        <v>5768</v>
      </c>
      <c r="Y115" t="s">
        <v>25</v>
      </c>
    </row>
    <row r="116" spans="1:25">
      <c r="M116" t="s">
        <v>25</v>
      </c>
      <c r="O116" s="97" t="s">
        <v>5781</v>
      </c>
      <c r="P116" s="18">
        <v>-4000000</v>
      </c>
      <c r="Q116" s="97">
        <v>1</v>
      </c>
      <c r="R116" s="97">
        <f t="shared" si="17"/>
        <v>168</v>
      </c>
      <c r="S116" s="97">
        <f t="shared" si="18"/>
        <v>-672000000</v>
      </c>
      <c r="T116" s="97"/>
    </row>
    <row r="117" spans="1:25">
      <c r="A117" s="94"/>
      <c r="O117" s="97" t="s">
        <v>5785</v>
      </c>
      <c r="P117" s="18">
        <v>-5000000</v>
      </c>
      <c r="Q117" s="97">
        <v>2</v>
      </c>
      <c r="R117" s="97">
        <f>Q117+R118</f>
        <v>167</v>
      </c>
      <c r="S117" s="97">
        <f t="shared" si="18"/>
        <v>-835000000</v>
      </c>
      <c r="T117" s="97"/>
    </row>
    <row r="118" spans="1:25">
      <c r="A118" s="94"/>
      <c r="O118" s="97" t="s">
        <v>5783</v>
      </c>
      <c r="P118" s="18">
        <v>-2500000</v>
      </c>
      <c r="Q118" s="97">
        <v>1</v>
      </c>
      <c r="R118" s="97">
        <f t="shared" si="17"/>
        <v>165</v>
      </c>
      <c r="S118" s="97">
        <f t="shared" si="18"/>
        <v>-412500000</v>
      </c>
      <c r="T118" s="97"/>
    </row>
    <row r="119" spans="1:25">
      <c r="O119" s="97" t="s">
        <v>5784</v>
      </c>
      <c r="P119" s="18">
        <v>-500000</v>
      </c>
      <c r="Q119" s="97">
        <v>17</v>
      </c>
      <c r="R119" s="97">
        <f t="shared" si="17"/>
        <v>164</v>
      </c>
      <c r="S119" s="97">
        <f t="shared" si="18"/>
        <v>-82000000</v>
      </c>
      <c r="T119" s="97"/>
    </row>
    <row r="120" spans="1:25">
      <c r="O120" s="97" t="s">
        <v>5786</v>
      </c>
      <c r="P120" s="18">
        <v>-192797</v>
      </c>
      <c r="Q120" s="97">
        <v>15</v>
      </c>
      <c r="R120" s="97">
        <f t="shared" si="17"/>
        <v>147</v>
      </c>
      <c r="S120" s="97">
        <f t="shared" si="18"/>
        <v>-28341159</v>
      </c>
      <c r="T120" s="97"/>
    </row>
    <row r="121" spans="1:25">
      <c r="O121" s="97" t="s">
        <v>5791</v>
      </c>
      <c r="P121" s="18">
        <v>2000000</v>
      </c>
      <c r="Q121" s="97">
        <v>12</v>
      </c>
      <c r="R121" s="97">
        <f t="shared" si="17"/>
        <v>132</v>
      </c>
      <c r="S121" s="97">
        <f t="shared" si="18"/>
        <v>264000000</v>
      </c>
      <c r="T121" s="97"/>
    </row>
    <row r="122" spans="1:25">
      <c r="N122" t="s">
        <v>25</v>
      </c>
      <c r="O122" s="97" t="s">
        <v>5798</v>
      </c>
      <c r="P122" s="18">
        <v>-2000000</v>
      </c>
      <c r="Q122" s="97">
        <v>0</v>
      </c>
      <c r="R122" s="97">
        <f t="shared" si="17"/>
        <v>120</v>
      </c>
      <c r="S122" s="97">
        <f t="shared" si="18"/>
        <v>-240000000</v>
      </c>
      <c r="T122" s="97"/>
    </row>
    <row r="123" spans="1:25">
      <c r="O123" s="97" t="s">
        <v>5798</v>
      </c>
      <c r="P123" s="18">
        <v>-4000000</v>
      </c>
      <c r="Q123" s="97">
        <v>1</v>
      </c>
      <c r="R123" s="97">
        <f t="shared" si="17"/>
        <v>120</v>
      </c>
      <c r="S123" s="97">
        <f t="shared" si="18"/>
        <v>-480000000</v>
      </c>
      <c r="T123" s="97"/>
    </row>
    <row r="124" spans="1:25">
      <c r="O124" s="97" t="s">
        <v>5799</v>
      </c>
      <c r="P124" s="18">
        <v>-3000000</v>
      </c>
      <c r="Q124" s="97">
        <v>3</v>
      </c>
      <c r="R124" s="97">
        <f t="shared" si="17"/>
        <v>119</v>
      </c>
      <c r="S124" s="97">
        <f t="shared" si="18"/>
        <v>-357000000</v>
      </c>
      <c r="T124" s="97"/>
    </row>
    <row r="125" spans="1:25">
      <c r="O125" s="97" t="s">
        <v>5806</v>
      </c>
      <c r="P125" s="18">
        <v>-6000000</v>
      </c>
      <c r="Q125" s="97">
        <v>1</v>
      </c>
      <c r="R125" s="97">
        <f t="shared" si="17"/>
        <v>116</v>
      </c>
      <c r="S125" s="97">
        <f t="shared" si="18"/>
        <v>-696000000</v>
      </c>
      <c r="T125" s="97"/>
    </row>
    <row r="126" spans="1:25">
      <c r="O126" s="97" t="s">
        <v>5810</v>
      </c>
      <c r="P126" s="18">
        <v>-10000000</v>
      </c>
      <c r="Q126" s="97">
        <v>0</v>
      </c>
      <c r="R126" s="97">
        <f t="shared" si="17"/>
        <v>115</v>
      </c>
      <c r="S126" s="97">
        <f t="shared" si="18"/>
        <v>-1150000000</v>
      </c>
      <c r="T126" s="97"/>
    </row>
    <row r="127" spans="1:25">
      <c r="O127" s="97" t="s">
        <v>5810</v>
      </c>
      <c r="P127" s="18">
        <v>-5500000</v>
      </c>
      <c r="Q127" s="97">
        <v>1</v>
      </c>
      <c r="R127" s="97">
        <f t="shared" si="17"/>
        <v>115</v>
      </c>
      <c r="S127" s="97">
        <f t="shared" si="18"/>
        <v>-632500000</v>
      </c>
      <c r="T127" s="97"/>
    </row>
    <row r="128" spans="1:25">
      <c r="O128" s="97" t="s">
        <v>5811</v>
      </c>
      <c r="P128" s="18">
        <v>-1500000</v>
      </c>
      <c r="Q128" s="97">
        <v>9</v>
      </c>
      <c r="R128" s="97">
        <f t="shared" si="17"/>
        <v>114</v>
      </c>
      <c r="S128" s="97">
        <f t="shared" si="18"/>
        <v>-171000000</v>
      </c>
      <c r="T128" s="97"/>
    </row>
    <row r="129" spans="1:23">
      <c r="O129" s="97" t="s">
        <v>5840</v>
      </c>
      <c r="P129" s="18">
        <v>-22545000</v>
      </c>
      <c r="Q129" s="97">
        <v>18</v>
      </c>
      <c r="R129" s="97">
        <f t="shared" si="17"/>
        <v>105</v>
      </c>
      <c r="S129" s="97">
        <f t="shared" si="18"/>
        <v>-2367225000</v>
      </c>
      <c r="T129" s="97" t="s">
        <v>5844</v>
      </c>
    </row>
    <row r="130" spans="1:23">
      <c r="O130" s="97" t="s">
        <v>5857</v>
      </c>
      <c r="P130" s="18">
        <v>5000000</v>
      </c>
      <c r="Q130" s="97">
        <v>9</v>
      </c>
      <c r="R130" s="97">
        <f t="shared" si="17"/>
        <v>87</v>
      </c>
      <c r="S130" s="97">
        <f t="shared" si="18"/>
        <v>435000000</v>
      </c>
      <c r="T130" s="97"/>
    </row>
    <row r="131" spans="1:23">
      <c r="O131" s="97" t="s">
        <v>5870</v>
      </c>
      <c r="P131" s="18">
        <v>3000000</v>
      </c>
      <c r="Q131" s="97">
        <v>0</v>
      </c>
      <c r="R131" s="97">
        <f t="shared" si="17"/>
        <v>78</v>
      </c>
      <c r="S131" s="97">
        <f t="shared" si="18"/>
        <v>234000000</v>
      </c>
      <c r="T131" s="97"/>
      <c r="W131" t="s">
        <v>25</v>
      </c>
    </row>
    <row r="132" spans="1:23">
      <c r="O132" s="97" t="s">
        <v>5870</v>
      </c>
      <c r="P132" s="18">
        <v>-3000000</v>
      </c>
      <c r="Q132" s="97">
        <v>1</v>
      </c>
      <c r="R132" s="97">
        <f t="shared" si="17"/>
        <v>78</v>
      </c>
      <c r="S132" s="97">
        <f t="shared" si="18"/>
        <v>-234000000</v>
      </c>
      <c r="T132" s="97"/>
    </row>
    <row r="133" spans="1:23">
      <c r="O133" s="97" t="s">
        <v>5871</v>
      </c>
      <c r="P133" s="18">
        <v>-11455000</v>
      </c>
      <c r="Q133" s="97">
        <v>14</v>
      </c>
      <c r="R133" s="97">
        <f t="shared" si="17"/>
        <v>77</v>
      </c>
      <c r="S133" s="97">
        <f t="shared" si="18"/>
        <v>-882035000</v>
      </c>
      <c r="T133" s="97"/>
    </row>
    <row r="134" spans="1:23">
      <c r="O134" s="97" t="s">
        <v>6458</v>
      </c>
      <c r="P134" s="18">
        <v>2317100</v>
      </c>
      <c r="Q134" s="97">
        <v>3</v>
      </c>
      <c r="R134" s="97">
        <f t="shared" si="17"/>
        <v>63</v>
      </c>
      <c r="S134" s="97">
        <f t="shared" si="18"/>
        <v>145977300</v>
      </c>
      <c r="T134" s="97"/>
    </row>
    <row r="135" spans="1:23">
      <c r="O135" s="97" t="s">
        <v>6463</v>
      </c>
      <c r="P135" s="18">
        <v>699000</v>
      </c>
      <c r="Q135" s="97">
        <v>3</v>
      </c>
      <c r="R135" s="97">
        <f t="shared" si="17"/>
        <v>60</v>
      </c>
      <c r="S135" s="97">
        <f t="shared" si="18"/>
        <v>41940000</v>
      </c>
      <c r="T135" s="97"/>
    </row>
    <row r="136" spans="1:23">
      <c r="O136" s="97" t="s">
        <v>6469</v>
      </c>
      <c r="P136" s="18">
        <v>-1016100</v>
      </c>
      <c r="Q136" s="97">
        <v>5</v>
      </c>
      <c r="R136" s="97">
        <f t="shared" si="17"/>
        <v>57</v>
      </c>
      <c r="S136" s="97">
        <f t="shared" si="18"/>
        <v>-57917700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52</v>
      </c>
      <c r="S137" s="97">
        <f t="shared" si="18"/>
        <v>-35360000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49</v>
      </c>
      <c r="S138" s="97">
        <f t="shared" si="18"/>
        <v>-10584000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46</v>
      </c>
      <c r="S139" s="97">
        <f t="shared" si="18"/>
        <v>-28474000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43</v>
      </c>
      <c r="S140" s="97">
        <f t="shared" si="18"/>
        <v>-20855000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32</v>
      </c>
      <c r="S141" s="97">
        <f t="shared" si="18"/>
        <v>96000000</v>
      </c>
      <c r="T141" s="97"/>
    </row>
    <row r="142" spans="1:23">
      <c r="A142" s="9"/>
      <c r="B142" s="18"/>
      <c r="O142" s="97" t="s">
        <v>6507</v>
      </c>
      <c r="P142" s="18">
        <v>255000</v>
      </c>
      <c r="Q142" s="97">
        <v>1</v>
      </c>
      <c r="R142" s="97">
        <f t="shared" si="17"/>
        <v>31</v>
      </c>
      <c r="S142" s="97">
        <f t="shared" si="18"/>
        <v>7905000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30</v>
      </c>
      <c r="S143" s="97">
        <f t="shared" si="18"/>
        <v>-97650000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6534</v>
      </c>
      <c r="P144" s="18">
        <v>60000000</v>
      </c>
      <c r="Q144" s="97">
        <v>19</v>
      </c>
      <c r="R144" s="97">
        <f t="shared" si="17"/>
        <v>21</v>
      </c>
      <c r="S144" s="97">
        <f t="shared" si="18"/>
        <v>1260000000</v>
      </c>
      <c r="T144" s="97"/>
    </row>
    <row r="145" spans="1:25">
      <c r="A145" s="94"/>
      <c r="B145" s="94"/>
      <c r="E145" s="94"/>
      <c r="F145" s="94"/>
      <c r="G145" s="94"/>
      <c r="H145" s="94"/>
      <c r="I145" s="94"/>
      <c r="J145" s="94"/>
      <c r="O145" s="97" t="s">
        <v>6557</v>
      </c>
      <c r="P145" s="18">
        <v>473628</v>
      </c>
      <c r="Q145" s="97">
        <v>2</v>
      </c>
      <c r="R145" s="97">
        <f>Q145+R149</f>
        <v>2</v>
      </c>
      <c r="S145" s="97">
        <f t="shared" si="18"/>
        <v>947256</v>
      </c>
      <c r="T145" s="97" t="s">
        <v>6558</v>
      </c>
    </row>
    <row r="146" spans="1:25">
      <c r="A146" s="94"/>
      <c r="B146" s="94"/>
      <c r="E146" s="94"/>
      <c r="F146" s="94"/>
      <c r="G146" s="94"/>
      <c r="H146" s="94"/>
      <c r="I146" s="94" t="s">
        <v>25</v>
      </c>
      <c r="J146" s="94"/>
      <c r="O146" s="97" t="s">
        <v>6559</v>
      </c>
      <c r="P146" s="18">
        <v>-473628</v>
      </c>
      <c r="Q146" s="97">
        <v>1</v>
      </c>
      <c r="R146" s="97"/>
      <c r="S146" s="97"/>
      <c r="T146" s="97"/>
    </row>
    <row r="147" spans="1:25">
      <c r="A147" s="94"/>
      <c r="B147" s="94"/>
      <c r="E147" s="94"/>
      <c r="F147" s="94"/>
      <c r="G147" s="94"/>
      <c r="H147" s="94"/>
      <c r="I147" s="94"/>
      <c r="J147" s="94"/>
      <c r="O147" s="97" t="s">
        <v>6562</v>
      </c>
      <c r="P147" s="18">
        <v>-6000000</v>
      </c>
      <c r="Q147" s="97">
        <v>1</v>
      </c>
      <c r="R147" s="97"/>
      <c r="S147" s="97"/>
      <c r="T147" s="97"/>
    </row>
    <row r="148" spans="1:25">
      <c r="A148" s="310" t="s">
        <v>6453</v>
      </c>
      <c r="B148" s="311" t="s">
        <v>6451</v>
      </c>
      <c r="C148" s="32" t="s">
        <v>6476</v>
      </c>
      <c r="D148" s="239" t="s">
        <v>1100</v>
      </c>
      <c r="E148" s="32" t="s">
        <v>6452</v>
      </c>
      <c r="F148" s="207" t="s">
        <v>5896</v>
      </c>
      <c r="G148" s="207" t="s">
        <v>6475</v>
      </c>
      <c r="H148" s="94"/>
      <c r="I148" s="94"/>
      <c r="J148" s="94"/>
      <c r="M148" t="s">
        <v>25</v>
      </c>
      <c r="O148" s="97"/>
      <c r="P148" s="18"/>
      <c r="Q148" s="97"/>
      <c r="R148" s="97"/>
      <c r="S148" s="97"/>
      <c r="T148" s="97"/>
    </row>
    <row r="149" spans="1:25">
      <c r="A149" s="310">
        <v>1390</v>
      </c>
      <c r="B149" s="311">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0">
        <v>1391</v>
      </c>
      <c r="B150" s="311">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0">
        <v>1392</v>
      </c>
      <c r="B151" s="311">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0">
        <v>1393</v>
      </c>
      <c r="B152" s="311">
        <v>782</v>
      </c>
      <c r="C152" s="32">
        <f t="shared" si="21"/>
        <v>22.1875</v>
      </c>
      <c r="D152" s="239">
        <v>3300</v>
      </c>
      <c r="E152" s="32">
        <f t="shared" si="19"/>
        <v>236.96969696969697</v>
      </c>
      <c r="F152" s="18">
        <v>1000000</v>
      </c>
      <c r="G152" s="207">
        <f t="shared" si="20"/>
        <v>782</v>
      </c>
      <c r="H152" s="94" t="s">
        <v>25</v>
      </c>
      <c r="I152" s="94"/>
      <c r="J152" s="94"/>
      <c r="O152" s="97"/>
      <c r="P152" s="18">
        <f>SUM(P32:P151)</f>
        <v>54000000</v>
      </c>
      <c r="Q152" s="97"/>
      <c r="R152" s="97"/>
      <c r="S152" s="18">
        <f>SUM(S32:S151)</f>
        <v>12755669756</v>
      </c>
      <c r="T152" s="97"/>
    </row>
    <row r="153" spans="1:25">
      <c r="A153" s="310">
        <v>1394</v>
      </c>
      <c r="B153" s="311">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0">
        <v>1395</v>
      </c>
      <c r="B154" s="311">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0">
        <v>1396</v>
      </c>
      <c r="B155" s="311">
        <v>1530</v>
      </c>
      <c r="C155" s="32">
        <f t="shared" si="21"/>
        <v>22.106943335993616</v>
      </c>
      <c r="D155" s="239">
        <v>4500</v>
      </c>
      <c r="E155" s="32">
        <f>B155*1000/D155</f>
        <v>340</v>
      </c>
      <c r="F155" s="18">
        <v>1400000</v>
      </c>
      <c r="G155" s="207">
        <f>B155*1000*1000/F155</f>
        <v>1092.8571428571429</v>
      </c>
      <c r="H155" s="94"/>
      <c r="I155" s="94"/>
      <c r="J155" s="94"/>
      <c r="P155" s="94"/>
    </row>
    <row r="156" spans="1:25">
      <c r="A156" s="310">
        <v>1397</v>
      </c>
      <c r="B156" s="311">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0">
        <v>1398</v>
      </c>
      <c r="B157" s="311">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0">
        <v>1399</v>
      </c>
      <c r="B158" s="311">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0">
        <v>1400</v>
      </c>
      <c r="B159" s="311">
        <f>B158*(1+C158/100)</f>
        <v>4887.7734627831715</v>
      </c>
      <c r="C159" s="32">
        <f t="shared" ref="C159" si="24">(B159-B158)*100/B158</f>
        <v>40.614886731391586</v>
      </c>
      <c r="D159" s="239">
        <v>26000</v>
      </c>
      <c r="E159" s="32">
        <f t="shared" si="23"/>
        <v>187.99128703012198</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v>0</v>
      </c>
      <c r="B164" s="94">
        <v>1</v>
      </c>
      <c r="C164" s="94">
        <v>3476</v>
      </c>
      <c r="E164" s="94">
        <v>2.845E-2</v>
      </c>
    </row>
    <row r="165" spans="1:20">
      <c r="A165">
        <v>1</v>
      </c>
      <c r="B165" s="94">
        <f>B164*(1+$E$164)</f>
        <v>1.0284500000000001</v>
      </c>
      <c r="C165" s="94">
        <f>C164*(1+$E$164)</f>
        <v>3574.8922000000002</v>
      </c>
      <c r="E165" s="94"/>
    </row>
    <row r="166" spans="1:20">
      <c r="A166" s="94">
        <v>2</v>
      </c>
      <c r="B166" s="94">
        <f t="shared" ref="B166:B176" si="25">B165*(1+$E$164)</f>
        <v>1.0577094025000002</v>
      </c>
      <c r="C166" s="94">
        <f t="shared" ref="C166:C176" si="26">C165*(1+$E$164)</f>
        <v>3676.5978830900003</v>
      </c>
      <c r="E166" s="94"/>
    </row>
    <row r="167" spans="1:20">
      <c r="A167" s="94">
        <v>3</v>
      </c>
      <c r="B167" s="94">
        <f t="shared" si="25"/>
        <v>1.0878012350011252</v>
      </c>
      <c r="C167" s="94">
        <f t="shared" si="26"/>
        <v>3781.1970928639112</v>
      </c>
    </row>
    <row r="168" spans="1:20">
      <c r="A168" s="94">
        <v>4</v>
      </c>
      <c r="B168" s="94">
        <f t="shared" si="25"/>
        <v>1.1187491801369074</v>
      </c>
      <c r="C168" s="94">
        <f t="shared" si="26"/>
        <v>3888.7721501558899</v>
      </c>
      <c r="E168" s="94"/>
      <c r="F168" s="94"/>
      <c r="G168" s="94"/>
      <c r="H168" s="94"/>
      <c r="I168" s="94"/>
      <c r="J168" s="94"/>
      <c r="K168" s="94"/>
      <c r="L168" s="94"/>
      <c r="M168" s="94"/>
      <c r="N168" s="94"/>
      <c r="O168" s="94"/>
      <c r="P168" s="94"/>
      <c r="Q168" s="94"/>
    </row>
    <row r="169" spans="1:20">
      <c r="A169" s="94">
        <v>5</v>
      </c>
      <c r="B169" s="94">
        <f t="shared" si="25"/>
        <v>1.1505775943118024</v>
      </c>
      <c r="C169" s="94">
        <f t="shared" si="26"/>
        <v>3999.4077178278253</v>
      </c>
      <c r="E169" s="94"/>
      <c r="F169" s="94"/>
      <c r="G169" s="94"/>
      <c r="H169" s="94"/>
      <c r="I169" s="94"/>
      <c r="J169" s="94"/>
      <c r="K169" s="94"/>
      <c r="L169" s="94"/>
      <c r="M169" s="94"/>
      <c r="N169" s="94"/>
      <c r="O169" s="94"/>
      <c r="P169" s="94"/>
      <c r="Q169" s="94"/>
    </row>
    <row r="170" spans="1:20">
      <c r="A170" s="94">
        <v>6</v>
      </c>
      <c r="B170" s="94">
        <f t="shared" si="25"/>
        <v>1.1833115268699732</v>
      </c>
      <c r="C170" s="94">
        <f t="shared" si="26"/>
        <v>4113.1908674000269</v>
      </c>
      <c r="E170" s="94"/>
      <c r="F170" s="94"/>
      <c r="G170" s="94"/>
      <c r="H170" s="94"/>
      <c r="I170" s="94"/>
      <c r="J170" s="94"/>
      <c r="K170" s="94"/>
      <c r="L170" s="94"/>
      <c r="M170" s="94"/>
      <c r="N170" s="94"/>
      <c r="O170" s="94"/>
      <c r="P170" s="94"/>
      <c r="Q170" s="94"/>
    </row>
    <row r="171" spans="1:20">
      <c r="A171" s="94">
        <v>7</v>
      </c>
      <c r="B171" s="94">
        <f t="shared" si="25"/>
        <v>1.216976739809424</v>
      </c>
      <c r="C171" s="94">
        <f t="shared" si="26"/>
        <v>4230.2111475775582</v>
      </c>
      <c r="E171" s="94"/>
      <c r="F171" s="94"/>
      <c r="G171" s="94"/>
      <c r="H171" s="94"/>
      <c r="I171" s="94"/>
      <c r="J171" s="94"/>
      <c r="K171" s="94"/>
      <c r="L171" s="94"/>
      <c r="M171" s="94"/>
      <c r="N171" s="94"/>
      <c r="O171" s="94"/>
      <c r="P171" s="94"/>
      <c r="Q171" s="94"/>
    </row>
    <row r="172" spans="1:20">
      <c r="A172" s="94">
        <v>8</v>
      </c>
      <c r="B172" s="94">
        <f t="shared" si="25"/>
        <v>1.2515997280570021</v>
      </c>
      <c r="C172" s="94">
        <f t="shared" si="26"/>
        <v>4350.5606547261405</v>
      </c>
      <c r="E172" s="94"/>
      <c r="F172" s="94"/>
      <c r="G172" s="94"/>
      <c r="H172" s="94"/>
      <c r="I172" s="94"/>
      <c r="J172" s="94"/>
      <c r="K172" s="94"/>
      <c r="L172" s="94"/>
      <c r="M172" s="94"/>
      <c r="N172" s="94"/>
      <c r="O172" s="94"/>
      <c r="P172" s="94"/>
      <c r="Q172" s="94"/>
    </row>
    <row r="173" spans="1:20">
      <c r="A173" s="94">
        <v>9</v>
      </c>
      <c r="B173" s="94">
        <f t="shared" si="25"/>
        <v>1.287207740320224</v>
      </c>
      <c r="C173" s="94">
        <f t="shared" si="26"/>
        <v>4474.3341053530994</v>
      </c>
      <c r="E173" s="94"/>
      <c r="F173" s="94"/>
      <c r="G173" s="94"/>
      <c r="H173" s="94"/>
      <c r="I173" s="94"/>
      <c r="J173" s="94"/>
      <c r="K173" s="94"/>
      <c r="L173" s="94"/>
      <c r="M173" s="94"/>
      <c r="N173" s="94"/>
      <c r="O173" s="94"/>
      <c r="P173" s="94"/>
      <c r="Q173" s="94"/>
    </row>
    <row r="174" spans="1:20">
      <c r="A174" s="94">
        <v>10</v>
      </c>
      <c r="B174" s="94">
        <f t="shared" si="25"/>
        <v>1.3238288005323344</v>
      </c>
      <c r="C174" s="94">
        <f t="shared" si="26"/>
        <v>4601.6289106503955</v>
      </c>
      <c r="E174" s="94"/>
      <c r="F174" s="94"/>
      <c r="G174" s="94"/>
      <c r="H174" s="94"/>
      <c r="I174" s="94"/>
      <c r="J174" s="94"/>
      <c r="K174" s="94"/>
      <c r="L174" s="94"/>
      <c r="M174" s="94"/>
      <c r="N174" s="94"/>
      <c r="O174" s="94"/>
      <c r="P174" s="94"/>
      <c r="Q174" s="94"/>
    </row>
    <row r="175" spans="1:20">
      <c r="A175" s="94">
        <v>11</v>
      </c>
      <c r="B175" s="94">
        <f t="shared" si="25"/>
        <v>1.3614917299074794</v>
      </c>
      <c r="C175" s="94">
        <f t="shared" si="26"/>
        <v>4732.5452531583996</v>
      </c>
      <c r="E175" s="94"/>
      <c r="F175" s="94"/>
      <c r="G175" s="94"/>
      <c r="H175" s="94"/>
      <c r="I175" s="94"/>
      <c r="J175" s="94"/>
      <c r="K175" s="94"/>
      <c r="L175" s="94"/>
      <c r="M175" s="94"/>
      <c r="N175" s="94"/>
      <c r="O175" s="94"/>
      <c r="P175" s="94"/>
      <c r="Q175" s="94"/>
    </row>
    <row r="176" spans="1:20">
      <c r="A176" s="94">
        <v>12</v>
      </c>
      <c r="B176" s="94">
        <f t="shared" si="25"/>
        <v>1.4002261696233473</v>
      </c>
      <c r="C176" s="94">
        <f t="shared" si="26"/>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opLeftCell="O147" zoomScale="80" zoomScaleNormal="80" workbookViewId="0">
      <selection activeCell="T158" sqref="T1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5610182974.1247711</v>
      </c>
      <c r="M21" s="166" t="s">
        <v>4275</v>
      </c>
      <c r="N21" s="111">
        <f>O21*P21</f>
        <v>3046515703</v>
      </c>
      <c r="O21" s="97">
        <v>2606087</v>
      </c>
      <c r="P21" s="183">
        <f>P47</f>
        <v>1169</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513648</v>
      </c>
      <c r="O22" s="97">
        <v>369</v>
      </c>
      <c r="P22" s="183">
        <f>P50</f>
        <v>1392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69302688</v>
      </c>
      <c r="O23" s="97">
        <v>31732</v>
      </c>
      <c r="P23" s="183">
        <f>P48</f>
        <v>2184</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5459307979.1247711</v>
      </c>
      <c r="G24" s="93">
        <f t="shared" si="0"/>
        <v>-5179001633.7428322</v>
      </c>
      <c r="H24" s="11"/>
      <c r="I24" s="94"/>
      <c r="J24" s="94"/>
      <c r="K24" s="207"/>
      <c r="L24" s="115"/>
      <c r="M24" s="207" t="s">
        <v>4357</v>
      </c>
      <c r="N24" s="111">
        <f>O24*P24</f>
        <v>37892925</v>
      </c>
      <c r="O24" s="97">
        <v>2455</v>
      </c>
      <c r="P24" s="183">
        <f>P45</f>
        <v>15435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37389120</v>
      </c>
      <c r="O28" s="67">
        <v>26860</v>
      </c>
      <c r="P28" s="97">
        <f>P50</f>
        <v>1392</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22259328</v>
      </c>
      <c r="O29" s="67">
        <v>10192</v>
      </c>
      <c r="P29" s="97">
        <f>P48</f>
        <v>2184</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15435</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361672234</v>
      </c>
      <c r="O31" s="67">
        <v>309386</v>
      </c>
      <c r="P31" s="97">
        <f>P47</f>
        <v>1169</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6563</v>
      </c>
      <c r="L34" s="115">
        <v>-34500000</v>
      </c>
      <c r="M34" s="166" t="s">
        <v>4131</v>
      </c>
      <c r="N34" s="111">
        <f>-W167</f>
        <v>-5610182974.1247711</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6536</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-15955681</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3881</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42529389</v>
      </c>
      <c r="O44" s="67">
        <v>36381</v>
      </c>
      <c r="P44" s="67">
        <f>P47</f>
        <v>1169</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88056675</v>
      </c>
      <c r="O45" s="67">
        <v>5705</v>
      </c>
      <c r="P45" s="67">
        <v>15435</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6537</v>
      </c>
      <c r="L46" s="115">
        <v>-54000000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5208133476</v>
      </c>
      <c r="O47" s="97">
        <v>4455204</v>
      </c>
      <c r="P47" s="97">
        <v>1169</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6514</v>
      </c>
      <c r="L48" s="115">
        <v>3500000</v>
      </c>
      <c r="M48" s="19" t="s">
        <v>5905</v>
      </c>
      <c r="N48" s="111">
        <f>O48*P48</f>
        <v>37678368</v>
      </c>
      <c r="O48" s="97">
        <v>17252</v>
      </c>
      <c r="P48" s="97">
        <v>2184</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202719744</v>
      </c>
      <c r="O50" s="97">
        <v>145632</v>
      </c>
      <c r="P50" s="97">
        <v>1392</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-W168</f>
        <v>-102312049.87315708</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3399442702.0020719</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5459307979.1247711</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5559307979.1247711</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6550</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6551</v>
      </c>
      <c r="S78" s="194">
        <f>S77-49</f>
        <v>3</v>
      </c>
      <c r="T78" s="207" t="s">
        <v>6552</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1349628146.6758094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8810.9495295124034</v>
      </c>
      <c r="G104" s="196">
        <f>P47</f>
        <v>1169</v>
      </c>
      <c r="H104" s="196" t="s">
        <v>4704</v>
      </c>
      <c r="I104" s="196" t="s">
        <v>5297</v>
      </c>
      <c r="J104" s="208" t="s">
        <v>4219</v>
      </c>
      <c r="K104" s="196">
        <v>210</v>
      </c>
      <c r="L104" s="209">
        <f t="shared" ref="L104:L109" si="40">K104*$L$112</f>
        <v>2163000000</v>
      </c>
      <c r="M104" s="209">
        <f>N21+N31+N47+N44</f>
        <v>8658850802</v>
      </c>
      <c r="N104" s="181">
        <f t="shared" ref="N104:N109" si="41">L104-M104</f>
        <v>-6495850802</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38474768</v>
      </c>
      <c r="N105" s="111">
        <f t="shared" si="41"/>
        <v>301425232</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15435</v>
      </c>
      <c r="H106" s="196" t="s">
        <v>4977</v>
      </c>
      <c r="I106" s="196" t="s">
        <v>5299</v>
      </c>
      <c r="J106" s="208" t="s">
        <v>4357</v>
      </c>
      <c r="K106" s="196">
        <v>0</v>
      </c>
      <c r="L106" s="209">
        <f t="shared" si="40"/>
        <v>0</v>
      </c>
      <c r="M106" s="209">
        <f>N45+N24</f>
        <v>125949600</v>
      </c>
      <c r="N106" s="181">
        <f t="shared" si="41"/>
        <v>-125949600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5490</v>
      </c>
      <c r="N107" s="186">
        <f t="shared" si="41"/>
        <v>-5490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388407648.7462979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-130680660</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6532</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7407058</v>
      </c>
      <c r="H134" s="32" t="s">
        <v>5451</v>
      </c>
      <c r="I134" s="32">
        <f>O46</f>
        <v>26</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424623.17878528655</v>
      </c>
      <c r="H135" s="279" t="s">
        <v>5452</v>
      </c>
      <c r="I135" s="32">
        <f>(N30+N47+N45+N31+N24+N21+N22+N23+N28+N29+N44+N48+N50)/P46</f>
        <v>416121.05900000001</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7831681.1787852868</v>
      </c>
      <c r="H136" s="32" t="s">
        <v>5453</v>
      </c>
      <c r="I136" s="32">
        <f>I134+I135</f>
        <v>416147.05900000001</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(W168+W169)/P47</f>
        <v>345274.72165681742</v>
      </c>
      <c r="H137" s="32" t="s">
        <v>5433</v>
      </c>
      <c r="I137" s="32">
        <f>(W168+W169)/P46</f>
        <v>18346.643164400888</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W166/P47</f>
        <v>2687279.5374323442</v>
      </c>
      <c r="H138" s="32" t="s">
        <v>481</v>
      </c>
      <c r="I138" s="32">
        <f>W166/P46</f>
        <v>142792.26269356412</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4799126.9196961261</v>
      </c>
      <c r="H139" s="32" t="s">
        <v>5</v>
      </c>
      <c r="I139" s="32">
        <f>I136-I137-I138</f>
        <v>255008.15314203501</v>
      </c>
      <c r="J139" s="112"/>
      <c r="K139" s="94"/>
      <c r="L139" s="94"/>
      <c r="M139" t="s">
        <v>25</v>
      </c>
      <c r="N139" s="94"/>
      <c r="Q139" s="167"/>
      <c r="R139" s="207" t="s">
        <v>6444</v>
      </c>
      <c r="S139" s="207">
        <f>S138-6</f>
        <v>61</v>
      </c>
      <c r="T139" s="207" t="s">
        <v>6445</v>
      </c>
      <c r="U139" s="207">
        <v>1973</v>
      </c>
      <c r="V139" s="97">
        <f t="shared" si="42"/>
        <v>2095.3151890410959</v>
      </c>
      <c r="W139" s="32">
        <f t="shared" ref="W139:W148" si="59">V139*(1+$W$19/100)</f>
        <v>2137.2214928219178</v>
      </c>
      <c r="X139" s="32">
        <f t="shared" ref="X139:X148"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6568</v>
      </c>
      <c r="U142" s="207">
        <v>1711</v>
      </c>
      <c r="V142" s="97">
        <f t="shared" ref="V142:V148"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6530</v>
      </c>
      <c r="S143" s="207">
        <f>S142-5</f>
        <v>20</v>
      </c>
      <c r="T143" s="207" t="s">
        <v>6543</v>
      </c>
      <c r="U143" s="207">
        <v>1230.5</v>
      </c>
      <c r="V143" s="97">
        <f t="shared" si="61"/>
        <v>1268.0825041095893</v>
      </c>
      <c r="W143" s="32">
        <f t="shared" si="59"/>
        <v>1293.4441541917811</v>
      </c>
      <c r="X143" s="32">
        <f t="shared" si="60"/>
        <v>1318.8058042739729</v>
      </c>
      <c r="Y143" s="94"/>
      <c r="Z143" s="94">
        <v>434</v>
      </c>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6531</v>
      </c>
      <c r="S144" s="207">
        <f>S143-1</f>
        <v>19</v>
      </c>
      <c r="T144" s="207" t="s">
        <v>6533</v>
      </c>
      <c r="U144" s="207">
        <v>1064</v>
      </c>
      <c r="V144" s="97">
        <f t="shared" si="61"/>
        <v>1095.6809643835616</v>
      </c>
      <c r="W144" s="32">
        <f t="shared" si="59"/>
        <v>1117.5945836712328</v>
      </c>
      <c r="X144" s="32">
        <f t="shared" si="60"/>
        <v>1139.5082029589041</v>
      </c>
      <c r="Y144" s="94">
        <v>700</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S144-7</f>
        <v>12</v>
      </c>
      <c r="T145" s="207" t="s">
        <v>6539</v>
      </c>
      <c r="U145" s="207">
        <v>1060</v>
      </c>
      <c r="V145" s="97">
        <f t="shared" si="61"/>
        <v>1085.8698082191784</v>
      </c>
      <c r="W145" s="32">
        <f t="shared" si="59"/>
        <v>1107.587204383562</v>
      </c>
      <c r="X145" s="32">
        <f t="shared" si="60"/>
        <v>1129.3046005479455</v>
      </c>
      <c r="Y145" s="94">
        <v>13405</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11</v>
      </c>
      <c r="T146" s="207" t="s">
        <v>6542</v>
      </c>
      <c r="U146" s="207">
        <v>1052.8</v>
      </c>
      <c r="V146" s="97">
        <f t="shared" si="61"/>
        <v>1077.6864613698631</v>
      </c>
      <c r="W146" s="32">
        <f t="shared" si="59"/>
        <v>1099.2401905972604</v>
      </c>
      <c r="X146" s="32">
        <f t="shared" si="60"/>
        <v>1120.7939198246577</v>
      </c>
      <c r="Y146" s="94">
        <v>392920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S146-1</f>
        <v>10</v>
      </c>
      <c r="T147" s="207" t="s">
        <v>6546</v>
      </c>
      <c r="U147" s="207">
        <v>1028.2</v>
      </c>
      <c r="V147" s="97">
        <f t="shared" si="61"/>
        <v>1051.7162016438358</v>
      </c>
      <c r="W147" s="32">
        <f t="shared" si="59"/>
        <v>1072.7505256767126</v>
      </c>
      <c r="X147" s="32">
        <f t="shared" si="60"/>
        <v>1093.7848497095893</v>
      </c>
      <c r="Y147" s="94">
        <v>12000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S147-4</f>
        <v>6</v>
      </c>
      <c r="T148" s="207" t="s">
        <v>6549</v>
      </c>
      <c r="U148" s="207">
        <v>1028</v>
      </c>
      <c r="V148" s="97">
        <f t="shared" si="61"/>
        <v>1048.3572164383561</v>
      </c>
      <c r="W148" s="32">
        <f t="shared" si="59"/>
        <v>1069.3243607671232</v>
      </c>
      <c r="X148" s="32">
        <f t="shared" si="60"/>
        <v>1090.2915050958904</v>
      </c>
      <c r="Y148" s="94">
        <v>10000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S148-3</f>
        <v>3</v>
      </c>
      <c r="T149" s="207" t="s">
        <v>6567</v>
      </c>
      <c r="U149" s="207">
        <v>1028</v>
      </c>
      <c r="V149" s="97">
        <f t="shared" ref="V149:V157" si="64">U149*(1+$R$112+$Q$15*S149/36500)</f>
        <v>1045.9914082191781</v>
      </c>
      <c r="W149" s="32">
        <f t="shared" ref="W149:W157" si="65">V149*(1+$W$19/100)</f>
        <v>1066.9112363835616</v>
      </c>
      <c r="X149" s="32">
        <f t="shared" ref="X149:X157" si="66">V149*(1+$X$19/100)</f>
        <v>1087.8310645479453</v>
      </c>
      <c r="Y149" s="94">
        <v>52982</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6553</v>
      </c>
      <c r="S150" s="207">
        <f>S149-3</f>
        <v>0</v>
      </c>
      <c r="T150" s="207" t="s">
        <v>6554</v>
      </c>
      <c r="U150" s="207">
        <v>1212</v>
      </c>
      <c r="V150" s="97">
        <f t="shared" si="64"/>
        <v>1230.4224000000002</v>
      </c>
      <c r="W150" s="32">
        <f t="shared" si="65"/>
        <v>1255.0308480000001</v>
      </c>
      <c r="X150" s="32">
        <f t="shared" si="66"/>
        <v>1279.6392960000003</v>
      </c>
      <c r="Y150" s="94"/>
      <c r="Z150" s="94">
        <v>845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6559</v>
      </c>
      <c r="S151" s="207">
        <f>S150-4</f>
        <v>-4</v>
      </c>
      <c r="T151" s="207" t="s">
        <v>6561</v>
      </c>
      <c r="U151" s="207">
        <v>21621</v>
      </c>
      <c r="V151" s="97">
        <f t="shared" si="64"/>
        <v>21883.295309589041</v>
      </c>
      <c r="W151" s="32">
        <f t="shared" si="65"/>
        <v>22320.961215780822</v>
      </c>
      <c r="X151" s="32">
        <f t="shared" si="66"/>
        <v>22758.627121972604</v>
      </c>
      <c r="Y151" s="94"/>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6564</v>
      </c>
      <c r="S152" s="207">
        <f>S151-3</f>
        <v>-7</v>
      </c>
      <c r="T152" s="207" t="s">
        <v>6565</v>
      </c>
      <c r="U152" s="207">
        <v>15436</v>
      </c>
      <c r="V152" s="97">
        <f t="shared" si="64"/>
        <v>15587.737994520548</v>
      </c>
      <c r="W152" s="32">
        <f t="shared" si="65"/>
        <v>15899.49275441096</v>
      </c>
      <c r="X152" s="32">
        <f t="shared" si="66"/>
        <v>16211.247514301371</v>
      </c>
      <c r="Y152" s="94"/>
      <c r="Z152" s="94"/>
      <c r="AA152" s="94">
        <v>5248</v>
      </c>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t="s">
        <v>6564</v>
      </c>
      <c r="S153" s="207">
        <f>S152</f>
        <v>-7</v>
      </c>
      <c r="T153" s="207" t="s">
        <v>6566</v>
      </c>
      <c r="U153" s="207">
        <v>1292.0999999999999</v>
      </c>
      <c r="V153" s="97">
        <f t="shared" si="64"/>
        <v>1304.80152</v>
      </c>
      <c r="W153" s="32">
        <f t="shared" si="65"/>
        <v>1330.8975504</v>
      </c>
      <c r="X153" s="32">
        <f t="shared" si="66"/>
        <v>1356.9935808</v>
      </c>
      <c r="Y153" s="94"/>
      <c r="Z153" s="94"/>
      <c r="AA153" s="94"/>
      <c r="AH153" s="97">
        <v>133</v>
      </c>
      <c r="AI153" s="111" t="s">
        <v>4833</v>
      </c>
      <c r="AJ153" s="111">
        <v>1400000</v>
      </c>
      <c r="AK153" s="97">
        <v>4</v>
      </c>
      <c r="AL153" s="20">
        <f t="shared" si="58"/>
        <v>694</v>
      </c>
      <c r="AM153" s="115">
        <f t="shared" si="67"/>
        <v>971600000</v>
      </c>
      <c r="AN153" s="20"/>
    </row>
    <row r="154" spans="5:44">
      <c r="G154" s="32" t="s">
        <v>6562</v>
      </c>
      <c r="H154" s="32">
        <v>4796613</v>
      </c>
      <c r="I154" s="207">
        <v>250296</v>
      </c>
      <c r="J154" s="207">
        <v>2687591</v>
      </c>
      <c r="K154" s="32">
        <v>140243</v>
      </c>
      <c r="L154" s="97">
        <f t="shared" si="62"/>
        <v>7484204</v>
      </c>
      <c r="M154" s="97">
        <f t="shared" si="63"/>
        <v>390539</v>
      </c>
      <c r="N154" s="94"/>
      <c r="Q154" s="167"/>
      <c r="R154" s="207"/>
      <c r="S154" s="207"/>
      <c r="T154" s="207"/>
      <c r="U154" s="207"/>
      <c r="V154" s="97"/>
      <c r="W154" s="32"/>
      <c r="X154" s="32"/>
      <c r="Y154" s="94"/>
      <c r="Z154" s="94"/>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207"/>
      <c r="S155" s="207"/>
      <c r="T155" s="207"/>
      <c r="U155" s="207"/>
      <c r="V155" s="97">
        <f t="shared" si="64"/>
        <v>0</v>
      </c>
      <c r="W155" s="32">
        <f t="shared" si="65"/>
        <v>0</v>
      </c>
      <c r="X155" s="32">
        <f t="shared" si="66"/>
        <v>0</v>
      </c>
      <c r="Y155" s="94"/>
      <c r="Z155" s="94"/>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67"/>
      <c r="R156" s="207"/>
      <c r="S156" s="207"/>
      <c r="T156" s="207" t="s">
        <v>25</v>
      </c>
      <c r="U156" s="207"/>
      <c r="V156" s="97">
        <f t="shared" si="64"/>
        <v>0</v>
      </c>
      <c r="W156" s="32">
        <f t="shared" si="65"/>
        <v>0</v>
      </c>
      <c r="X156" s="32">
        <f t="shared" si="66"/>
        <v>0</v>
      </c>
      <c r="Y156" s="94"/>
      <c r="Z156" s="94" t="s">
        <v>25</v>
      </c>
      <c r="AA156" s="94"/>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167"/>
      <c r="R157" s="166"/>
      <c r="S157" s="166"/>
      <c r="T157" s="166" t="s">
        <v>25</v>
      </c>
      <c r="U157" s="166"/>
      <c r="V157" s="97">
        <f t="shared" si="64"/>
        <v>0</v>
      </c>
      <c r="W157" s="32">
        <f t="shared" si="65"/>
        <v>0</v>
      </c>
      <c r="X157" s="32">
        <f t="shared" si="66"/>
        <v>0</v>
      </c>
      <c r="Z157" t="s">
        <v>25</v>
      </c>
      <c r="AA157" s="94"/>
      <c r="AH157" s="97">
        <v>137</v>
      </c>
      <c r="AI157" s="111" t="s">
        <v>4885</v>
      </c>
      <c r="AJ157" s="111">
        <v>2100000</v>
      </c>
      <c r="AK157" s="97">
        <v>1</v>
      </c>
      <c r="AL157" s="20">
        <f t="shared" si="58"/>
        <v>668</v>
      </c>
      <c r="AM157" s="115">
        <f t="shared" si="67"/>
        <v>1402800000</v>
      </c>
      <c r="AN157" s="20"/>
    </row>
    <row r="158" spans="5:44">
      <c r="O158" s="94"/>
      <c r="P158" s="112"/>
      <c r="Q158" s="111">
        <f>SUM(N44:N51)-SUM(Q116:Q157)</f>
        <v>3701972633.36867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v>154000</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R162" s="32">
        <v>101018</v>
      </c>
      <c r="S162" s="1">
        <f>S161*R162/R161</f>
        <v>99790434.971394956</v>
      </c>
      <c r="T162" s="112" t="s">
        <v>25</v>
      </c>
      <c r="U162" s="94" t="s">
        <v>25</v>
      </c>
      <c r="V162" s="120" t="s">
        <v>25</v>
      </c>
      <c r="W162" s="94" t="s">
        <v>25</v>
      </c>
      <c r="X162" t="s">
        <v>25</v>
      </c>
      <c r="Y162" t="s">
        <v>25</v>
      </c>
      <c r="Z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R163" s="32">
        <f>R161-R162</f>
        <v>52982</v>
      </c>
      <c r="S163" s="1">
        <f>R163*S161/R161</f>
        <v>52338165.729418993</v>
      </c>
      <c r="T163" t="s">
        <v>25</v>
      </c>
      <c r="U163" s="120" t="s">
        <v>25</v>
      </c>
      <c r="V163" s="94"/>
      <c r="W163" s="120" t="s">
        <v>25</v>
      </c>
      <c r="X163" t="s">
        <v>25</v>
      </c>
      <c r="Y163" t="s">
        <v>25</v>
      </c>
      <c r="Z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t="s">
        <v>25</v>
      </c>
      <c r="V164" s="94"/>
      <c r="W164"/>
      <c r="X164" t="s">
        <v>25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s="94" t="s">
        <v>25</v>
      </c>
      <c r="R165" s="94"/>
      <c r="S165" s="94"/>
      <c r="T165" s="94"/>
      <c r="U165" s="284" t="s">
        <v>4408</v>
      </c>
      <c r="V165" s="284" t="s">
        <v>4421</v>
      </c>
      <c r="W165" s="284" t="s">
        <v>4422</v>
      </c>
      <c r="X165" t="s">
        <v>25</v>
      </c>
      <c r="Y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c r="R166" s="94"/>
      <c r="S166" s="94"/>
      <c r="T166" s="120">
        <f>V167-V172</f>
        <v>2666360</v>
      </c>
      <c r="U166" s="284" t="s">
        <v>744</v>
      </c>
      <c r="V166" s="284">
        <v>1493032</v>
      </c>
      <c r="W166" s="88">
        <f>V166*$T$506</f>
        <v>3141429779.2584105</v>
      </c>
      <c r="X166">
        <f>W166*100/$W$172</f>
        <v>34.312919766943736</v>
      </c>
      <c r="Y166" t="s">
        <v>25</v>
      </c>
      <c r="Z166" t="s">
        <v>25</v>
      </c>
      <c r="AA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T167" s="120"/>
      <c r="U167" s="284" t="s">
        <v>4410</v>
      </c>
      <c r="V167" s="284">
        <v>2666360</v>
      </c>
      <c r="W167" s="88">
        <f>V167*$T$506</f>
        <v>5610182974.1247711</v>
      </c>
      <c r="X167" s="94">
        <f>W167*100/$W$172</f>
        <v>61.278389712871586</v>
      </c>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t="s">
        <v>25</v>
      </c>
      <c r="S168" t="s">
        <v>25</v>
      </c>
      <c r="T168" s="94">
        <f>V166-V172</f>
        <v>1493032</v>
      </c>
      <c r="U168" s="284" t="s">
        <v>4409</v>
      </c>
      <c r="V168" s="284">
        <v>48626</v>
      </c>
      <c r="W168" s="88">
        <f>V168*$T$506</f>
        <v>102312049.87315708</v>
      </c>
      <c r="X168" s="94">
        <f>W168*100/$W$172</f>
        <v>1.1175246321494825</v>
      </c>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T169" s="94"/>
      <c r="U169" s="284" t="s">
        <v>1071</v>
      </c>
      <c r="V169" s="284">
        <v>143206</v>
      </c>
      <c r="W169" s="88">
        <f>V169*$T$506</f>
        <v>301314099.74366248</v>
      </c>
      <c r="X169" s="94">
        <f>W169*100/$W$172</f>
        <v>3.2911658880351822</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T170" s="94"/>
      <c r="U170" s="284"/>
      <c r="V170" s="284"/>
      <c r="W170" s="284"/>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t="s">
        <v>25</v>
      </c>
      <c r="S171" t="s">
        <v>25</v>
      </c>
      <c r="T171" s="94" t="s">
        <v>25</v>
      </c>
      <c r="U171" s="87"/>
      <c r="V171" s="87">
        <f>SUM(V166:V169)</f>
        <v>4351224</v>
      </c>
      <c r="W171" s="87"/>
      <c r="X171" s="112" t="s">
        <v>25</v>
      </c>
      <c r="Y171" t="s">
        <v>25</v>
      </c>
      <c r="Z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t="s">
        <v>25</v>
      </c>
      <c r="T172" s="94" t="s">
        <v>25</v>
      </c>
      <c r="U172" s="87"/>
      <c r="V172" s="87">
        <f>V171-U503</f>
        <v>0</v>
      </c>
      <c r="W172" s="140">
        <f>SUM(W166:W169)</f>
        <v>9155238903.0000019</v>
      </c>
      <c r="X172" s="94"/>
      <c r="Y172" t="s">
        <v>25</v>
      </c>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c r="R173" s="94"/>
      <c r="S173" s="94"/>
      <c r="T173" s="94" t="s">
        <v>25</v>
      </c>
      <c r="U173" s="87"/>
      <c r="V173" s="87" t="s">
        <v>5850</v>
      </c>
      <c r="W173" s="140">
        <f>R184-W169</f>
        <v>120006582.25633752</v>
      </c>
      <c r="X173" s="94"/>
      <c r="Y173" t="s">
        <v>25</v>
      </c>
      <c r="Z173" t="s">
        <v>25</v>
      </c>
      <c r="AA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t="s">
        <v>25</v>
      </c>
      <c r="R174" s="94"/>
      <c r="S174" s="94"/>
      <c r="T174" s="94" t="s">
        <v>25</v>
      </c>
      <c r="U174" s="87"/>
      <c r="V174" s="87" t="s">
        <v>5849</v>
      </c>
      <c r="W174" s="140">
        <f>W168-W173</f>
        <v>-17694532.383180439</v>
      </c>
      <c r="X174" s="94"/>
      <c r="Z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t="s">
        <v>25</v>
      </c>
      <c r="R175" s="94"/>
      <c r="S175" s="94"/>
      <c r="T175" s="94"/>
      <c r="U175" s="87"/>
      <c r="V175" s="87" t="s">
        <v>4929</v>
      </c>
      <c r="W175" s="140">
        <f>W166+W174-R183</f>
        <v>-30489717.124770164</v>
      </c>
      <c r="X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4"/>
      <c r="R177" s="94"/>
      <c r="S177" s="94"/>
      <c r="T177" s="94"/>
      <c r="V177" s="94"/>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207" t="s">
        <v>5504</v>
      </c>
      <c r="H179" s="111">
        <v>2281961.458596</v>
      </c>
      <c r="P179" s="112"/>
      <c r="S179" s="94"/>
      <c r="T179" s="94"/>
      <c r="V179" s="94"/>
      <c r="AH179" s="97">
        <v>159</v>
      </c>
      <c r="AI179" s="111" t="s">
        <v>4994</v>
      </c>
      <c r="AJ179" s="111">
        <v>40000</v>
      </c>
      <c r="AK179" s="97">
        <v>5</v>
      </c>
      <c r="AL179" s="20">
        <f>AL180+AK179</f>
        <v>602</v>
      </c>
      <c r="AM179" s="115">
        <f>AJ179*AL179</f>
        <v>24080000</v>
      </c>
      <c r="AN179" s="20"/>
    </row>
    <row r="180" spans="5:43">
      <c r="G180" s="207" t="s">
        <v>5511</v>
      </c>
      <c r="H180" s="111">
        <v>10998285</v>
      </c>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4"/>
      <c r="R181" s="94"/>
      <c r="S181" s="94"/>
      <c r="T181" s="111" t="s">
        <v>4420</v>
      </c>
      <c r="U181" s="54">
        <v>1000000</v>
      </c>
      <c r="V181" s="111">
        <v>239.024</v>
      </c>
      <c r="W181" s="111">
        <f t="shared" ref="W181:W282" si="70">U181*V181</f>
        <v>239024000</v>
      </c>
      <c r="X181" s="97"/>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t="s">
        <v>4515</v>
      </c>
      <c r="R182" s="93">
        <f>SUM(N44:N51)</f>
        <v>5579689652</v>
      </c>
      <c r="T182" s="166" t="s">
        <v>4402</v>
      </c>
      <c r="U182" s="54">
        <v>5904</v>
      </c>
      <c r="V182" s="111">
        <v>237.148</v>
      </c>
      <c r="W182" s="111">
        <f t="shared" si="70"/>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4411</v>
      </c>
      <c r="R183" s="93">
        <f>SUM(N21:N25)</f>
        <v>3154224964</v>
      </c>
      <c r="T183" s="166" t="s">
        <v>4208</v>
      </c>
      <c r="U183" s="166">
        <v>1000</v>
      </c>
      <c r="V183" s="111">
        <v>247.393</v>
      </c>
      <c r="W183" s="111">
        <f t="shared" si="70"/>
        <v>247393</v>
      </c>
      <c r="X183" s="97" t="s">
        <v>744</v>
      </c>
      <c r="Y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4412</v>
      </c>
      <c r="R184" s="93">
        <f>SUM(N28:N31)</f>
        <v>421320682</v>
      </c>
      <c r="T184" s="166" t="s">
        <v>4448</v>
      </c>
      <c r="U184" s="166">
        <v>8071</v>
      </c>
      <c r="V184" s="111">
        <v>247.797</v>
      </c>
      <c r="W184" s="111">
        <f t="shared" si="70"/>
        <v>1999969.5870000001</v>
      </c>
      <c r="X184" s="97" t="s">
        <v>4409</v>
      </c>
      <c r="Y184" t="s">
        <v>25</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4413</v>
      </c>
      <c r="R185" s="93">
        <f>N42</f>
        <v>3881</v>
      </c>
      <c r="T185" s="166" t="s">
        <v>4448</v>
      </c>
      <c r="U185" s="166">
        <v>53672</v>
      </c>
      <c r="V185" s="111">
        <v>247.797</v>
      </c>
      <c r="W185" s="111">
        <f t="shared" si="70"/>
        <v>13299760.584000001</v>
      </c>
      <c r="X185" s="97" t="s">
        <v>452</v>
      </c>
      <c r="Y185" t="s">
        <v>25</v>
      </c>
      <c r="AA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t="s">
        <v>4414</v>
      </c>
      <c r="R186" s="93">
        <f>N20</f>
        <v>324</v>
      </c>
      <c r="T186" s="166" t="s">
        <v>4456</v>
      </c>
      <c r="U186" s="166">
        <v>4099</v>
      </c>
      <c r="V186" s="111">
        <v>243.93</v>
      </c>
      <c r="W186" s="111">
        <f t="shared" si="70"/>
        <v>999869.07000000007</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4415</v>
      </c>
      <c r="R187" s="93">
        <f>N27</f>
        <v>1285</v>
      </c>
      <c r="T187" s="166" t="s">
        <v>4456</v>
      </c>
      <c r="U187" s="166">
        <v>9301</v>
      </c>
      <c r="V187" s="111">
        <v>243.93</v>
      </c>
      <c r="W187" s="111">
        <f t="shared" si="70"/>
        <v>2268792.9300000002</v>
      </c>
      <c r="X187" s="97" t="s">
        <v>452</v>
      </c>
      <c r="Z187"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c r="R188" s="93"/>
      <c r="S188" t="s">
        <v>25</v>
      </c>
      <c r="T188" s="166" t="s">
        <v>4460</v>
      </c>
      <c r="U188" s="166">
        <v>8334</v>
      </c>
      <c r="V188" s="111">
        <v>239.97</v>
      </c>
      <c r="W188" s="111">
        <f t="shared" si="70"/>
        <v>1999909.98</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t="s">
        <v>5060</v>
      </c>
      <c r="R189" s="93">
        <v>0</v>
      </c>
      <c r="T189" s="166" t="s">
        <v>4207</v>
      </c>
      <c r="U189" s="166">
        <v>29041</v>
      </c>
      <c r="V189" s="111">
        <v>233.45</v>
      </c>
      <c r="W189" s="111">
        <f t="shared" si="70"/>
        <v>6779621.4499999993</v>
      </c>
      <c r="X189" s="97" t="s">
        <v>744</v>
      </c>
      <c r="Y189" s="120"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t="s">
        <v>6544</v>
      </c>
      <c r="R190" s="93">
        <v>-1885</v>
      </c>
      <c r="S190" s="94"/>
      <c r="T190" s="166" t="s">
        <v>979</v>
      </c>
      <c r="U190" s="166">
        <v>12337</v>
      </c>
      <c r="V190" s="111">
        <v>243.16300000000001</v>
      </c>
      <c r="W190" s="111">
        <f t="shared" si="70"/>
        <v>2999901.9310000003</v>
      </c>
      <c r="X190" s="97" t="s">
        <v>4409</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Q191" s="97"/>
      <c r="R191" s="93"/>
      <c r="S191" s="94"/>
      <c r="T191" s="166" t="s">
        <v>4533</v>
      </c>
      <c r="U191" s="166">
        <v>-16118</v>
      </c>
      <c r="V191" s="111">
        <v>248.17</v>
      </c>
      <c r="W191" s="111">
        <f t="shared" si="70"/>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5593</v>
      </c>
      <c r="H192" s="111">
        <v>2245515.5410799999</v>
      </c>
      <c r="P192" s="112"/>
      <c r="Q192" s="36" t="s">
        <v>6540</v>
      </c>
      <c r="R192" s="93"/>
      <c r="S192" s="113" t="s">
        <v>25</v>
      </c>
      <c r="T192" s="166" t="s">
        <v>4554</v>
      </c>
      <c r="U192" s="166">
        <v>101681</v>
      </c>
      <c r="V192" s="111">
        <v>246.5711</v>
      </c>
      <c r="W192" s="111">
        <f t="shared" si="70"/>
        <v>25071596.019099999</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20" t="s">
        <v>25</v>
      </c>
      <c r="T193" s="166" t="s">
        <v>4558</v>
      </c>
      <c r="U193" s="166">
        <v>66606</v>
      </c>
      <c r="V193" s="111">
        <v>251.131</v>
      </c>
      <c r="W193" s="111">
        <f t="shared" si="70"/>
        <v>16726831.386</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t="s">
        <v>5061</v>
      </c>
      <c r="R194" s="93">
        <v>0</v>
      </c>
      <c r="S194" s="120"/>
      <c r="T194" s="166" t="s">
        <v>4563</v>
      </c>
      <c r="U194" s="166">
        <v>172025</v>
      </c>
      <c r="V194" s="111">
        <v>245.52809999999999</v>
      </c>
      <c r="W194" s="111">
        <f t="shared" si="70"/>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c r="R195" s="93"/>
      <c r="S195" s="113"/>
      <c r="T195" s="166" t="s">
        <v>4563</v>
      </c>
      <c r="U195" s="166">
        <v>189227</v>
      </c>
      <c r="V195" s="111">
        <v>245.52809999999999</v>
      </c>
      <c r="W195" s="111">
        <f t="shared" si="70"/>
        <v>46460545.778700002</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7"/>
      <c r="R196" s="93"/>
      <c r="S196" s="113"/>
      <c r="T196" s="166" t="s">
        <v>4564</v>
      </c>
      <c r="U196" s="166">
        <v>79720</v>
      </c>
      <c r="V196" s="111">
        <v>246.6568</v>
      </c>
      <c r="W196" s="111">
        <f t="shared" si="70"/>
        <v>19663480.096000001</v>
      </c>
      <c r="X196" s="97" t="s">
        <v>452</v>
      </c>
      <c r="Y196" s="8" t="s">
        <v>25</v>
      </c>
      <c r="Z196" t="s">
        <v>25</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97" t="s">
        <v>4419</v>
      </c>
      <c r="R197" s="93">
        <f>SUM(R182:R196)</f>
        <v>9155238903</v>
      </c>
      <c r="T197" s="166" t="s">
        <v>4564</v>
      </c>
      <c r="U197" s="166">
        <v>79720</v>
      </c>
      <c r="V197" s="111">
        <v>246.6568</v>
      </c>
      <c r="W197" s="111">
        <f t="shared" si="70"/>
        <v>19663480.096000001</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94"/>
      <c r="T198" s="166" t="s">
        <v>4585</v>
      </c>
      <c r="U198" s="166">
        <v>17769</v>
      </c>
      <c r="V198" s="111">
        <v>246.17877999999999</v>
      </c>
      <c r="W198" s="111">
        <f t="shared" si="70"/>
        <v>4374350.7418200001</v>
      </c>
      <c r="X198" s="97" t="s">
        <v>744</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T199" s="166" t="s">
        <v>4585</v>
      </c>
      <c r="U199" s="166">
        <v>17769</v>
      </c>
      <c r="V199" s="111">
        <v>246.17877999999999</v>
      </c>
      <c r="W199" s="111">
        <f t="shared" si="70"/>
        <v>4374350.7418200001</v>
      </c>
      <c r="X199" s="97" t="s">
        <v>452</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t="s">
        <v>8</v>
      </c>
      <c r="R200" s="207" t="s">
        <v>4409</v>
      </c>
      <c r="S200" s="207"/>
      <c r="T200" s="166" t="s">
        <v>4587</v>
      </c>
      <c r="U200" s="166">
        <v>12438</v>
      </c>
      <c r="V200" s="111">
        <v>241.20465999999999</v>
      </c>
      <c r="W200" s="111">
        <f t="shared" si="70"/>
        <v>3000103.5610799999</v>
      </c>
      <c r="X200" s="97" t="s">
        <v>4409</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71" t="s">
        <v>180</v>
      </c>
      <c r="S201" s="207" t="s">
        <v>267</v>
      </c>
      <c r="T201" s="166" t="s">
        <v>4596</v>
      </c>
      <c r="U201" s="166">
        <v>27363</v>
      </c>
      <c r="V201" s="111">
        <v>239.3886</v>
      </c>
      <c r="W201" s="111">
        <f t="shared" si="70"/>
        <v>6550390.2617999995</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4402</v>
      </c>
      <c r="S202" s="111">
        <v>3000000</v>
      </c>
      <c r="T202" s="166" t="s">
        <v>4596</v>
      </c>
      <c r="U202" s="166">
        <v>27363</v>
      </c>
      <c r="V202" s="111">
        <v>239.3886</v>
      </c>
      <c r="W202" s="111">
        <f t="shared" si="70"/>
        <v>6550390.2617999995</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4448</v>
      </c>
      <c r="S203" s="111">
        <v>2000000</v>
      </c>
      <c r="T203" s="205" t="s">
        <v>4598</v>
      </c>
      <c r="U203" s="205">
        <v>27437</v>
      </c>
      <c r="V203" s="111">
        <v>242.4015</v>
      </c>
      <c r="W203" s="111">
        <f t="shared" si="70"/>
        <v>6650769.9555000002</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4456</v>
      </c>
      <c r="S204" s="111">
        <v>1000000</v>
      </c>
      <c r="T204" s="205" t="s">
        <v>4598</v>
      </c>
      <c r="U204" s="205">
        <v>29104</v>
      </c>
      <c r="V204" s="111">
        <v>242.4015</v>
      </c>
      <c r="W204" s="111">
        <f t="shared" si="70"/>
        <v>7054853.2560000001</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4460</v>
      </c>
      <c r="S205" s="111">
        <v>2000000</v>
      </c>
      <c r="T205" s="207" t="s">
        <v>4614</v>
      </c>
      <c r="U205" s="207">
        <v>8991</v>
      </c>
      <c r="V205" s="111">
        <v>238.64867000000001</v>
      </c>
      <c r="W205" s="111">
        <f t="shared" si="70"/>
        <v>2145690.19197</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c r="R206" s="207" t="s">
        <v>979</v>
      </c>
      <c r="S206" s="111">
        <v>3000000</v>
      </c>
      <c r="T206" s="207" t="s">
        <v>4614</v>
      </c>
      <c r="U206" s="207">
        <v>8991</v>
      </c>
      <c r="V206" s="111">
        <v>238.64867000000001</v>
      </c>
      <c r="W206" s="111">
        <f t="shared" si="70"/>
        <v>2145690.19197</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c r="R207" s="207" t="s">
        <v>4587</v>
      </c>
      <c r="S207" s="111">
        <v>3000000</v>
      </c>
      <c r="T207" s="207" t="s">
        <v>4625</v>
      </c>
      <c r="U207" s="207">
        <v>18170</v>
      </c>
      <c r="V207" s="111">
        <v>240.48475999999999</v>
      </c>
      <c r="W207" s="111">
        <f t="shared" si="70"/>
        <v>4369608.0892000003</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4754</v>
      </c>
      <c r="R208" s="207" t="s">
        <v>4749</v>
      </c>
      <c r="S208" s="111">
        <v>-800000</v>
      </c>
      <c r="T208" s="207" t="s">
        <v>4625</v>
      </c>
      <c r="U208" s="207">
        <v>18170</v>
      </c>
      <c r="V208" s="111">
        <v>240.48475999999999</v>
      </c>
      <c r="W208" s="111">
        <f t="shared" si="70"/>
        <v>4369608.0892000003</v>
      </c>
      <c r="X208" s="97" t="s">
        <v>452</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207" t="s">
        <v>4755</v>
      </c>
      <c r="R209" s="207" t="s">
        <v>4749</v>
      </c>
      <c r="S209" s="111">
        <v>-900000</v>
      </c>
      <c r="T209" s="207" t="s">
        <v>4627</v>
      </c>
      <c r="U209" s="207">
        <v>36797</v>
      </c>
      <c r="V209" s="111">
        <v>239.0822</v>
      </c>
      <c r="W209" s="111">
        <f t="shared" si="70"/>
        <v>8797507.7134000007</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207" t="s">
        <v>4755</v>
      </c>
      <c r="R210" s="207" t="s">
        <v>966</v>
      </c>
      <c r="S210" s="111">
        <v>-1100000</v>
      </c>
      <c r="T210" s="207" t="s">
        <v>4627</v>
      </c>
      <c r="U210" s="207">
        <v>36797</v>
      </c>
      <c r="V210" s="111">
        <v>239.0822</v>
      </c>
      <c r="W210" s="111">
        <f t="shared" si="70"/>
        <v>8797507.7134000007</v>
      </c>
      <c r="X210" s="97" t="s">
        <v>452</v>
      </c>
      <c r="Z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8" t="s">
        <v>1071</v>
      </c>
      <c r="R211" s="188" t="s">
        <v>4778</v>
      </c>
      <c r="S211" s="193">
        <v>30000000</v>
      </c>
      <c r="T211" s="207" t="s">
        <v>4636</v>
      </c>
      <c r="U211" s="207">
        <v>28066</v>
      </c>
      <c r="V211" s="111">
        <v>237.56970000000001</v>
      </c>
      <c r="W211" s="111">
        <f t="shared" si="70"/>
        <v>6667631.2002000008</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4858</v>
      </c>
      <c r="R212" s="19" t="s">
        <v>4856</v>
      </c>
      <c r="S212" s="115">
        <v>2000000</v>
      </c>
      <c r="T212" s="207" t="s">
        <v>4636</v>
      </c>
      <c r="U212" s="207">
        <v>28066</v>
      </c>
      <c r="V212" s="111">
        <v>237.56970000000001</v>
      </c>
      <c r="W212" s="111">
        <f t="shared" si="70"/>
        <v>6667631.2002000008</v>
      </c>
      <c r="X212" s="97" t="s">
        <v>452</v>
      </c>
      <c r="Y212"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87" t="s">
        <v>4879</v>
      </c>
      <c r="R213" s="187" t="s">
        <v>4878</v>
      </c>
      <c r="S213" s="186">
        <v>480105</v>
      </c>
      <c r="T213" s="207" t="s">
        <v>3668</v>
      </c>
      <c r="U213" s="207">
        <v>37457</v>
      </c>
      <c r="V213" s="111">
        <v>239.77</v>
      </c>
      <c r="W213" s="111">
        <f t="shared" si="70"/>
        <v>8981064.8900000006</v>
      </c>
      <c r="X213" s="97" t="s">
        <v>744</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c r="R214" s="187" t="s">
        <v>4919</v>
      </c>
      <c r="S214" s="186">
        <v>30500000</v>
      </c>
      <c r="T214" s="207" t="s">
        <v>3668</v>
      </c>
      <c r="U214" s="207">
        <v>37457</v>
      </c>
      <c r="V214" s="111">
        <v>239.77</v>
      </c>
      <c r="W214" s="111">
        <f t="shared" si="70"/>
        <v>8981064.8900000006</v>
      </c>
      <c r="X214" s="97" t="s">
        <v>452</v>
      </c>
      <c r="Y214" s="94" t="s">
        <v>25</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4942</v>
      </c>
      <c r="S215" s="115">
        <v>-400000</v>
      </c>
      <c r="T215" s="207" t="s">
        <v>4648</v>
      </c>
      <c r="U215" s="207">
        <v>38412</v>
      </c>
      <c r="V215" s="111">
        <v>239.03</v>
      </c>
      <c r="W215" s="111">
        <f t="shared" si="70"/>
        <v>9181620.3599999994</v>
      </c>
      <c r="X215" s="97" t="s">
        <v>744</v>
      </c>
      <c r="Y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5056</v>
      </c>
      <c r="R216" s="187" t="s">
        <v>4977</v>
      </c>
      <c r="S216" s="186">
        <v>-349550</v>
      </c>
      <c r="T216" s="207" t="s">
        <v>4648</v>
      </c>
      <c r="U216" s="207">
        <v>38412</v>
      </c>
      <c r="V216" s="111">
        <v>239.03</v>
      </c>
      <c r="W216" s="111">
        <f t="shared" si="70"/>
        <v>9181620.3599999994</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5117</v>
      </c>
      <c r="S217" s="115">
        <v>-200000</v>
      </c>
      <c r="T217" s="207" t="s">
        <v>4651</v>
      </c>
      <c r="U217" s="207">
        <v>49555</v>
      </c>
      <c r="V217" s="111">
        <v>238.345</v>
      </c>
      <c r="W217" s="111">
        <f t="shared" si="70"/>
        <v>11811186.475</v>
      </c>
      <c r="X217" s="97" t="s">
        <v>744</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5149</v>
      </c>
      <c r="S218" s="115">
        <v>-122000</v>
      </c>
      <c r="T218" s="207" t="s">
        <v>4651</v>
      </c>
      <c r="U218" s="207">
        <v>49555</v>
      </c>
      <c r="V218" s="111">
        <v>238.345</v>
      </c>
      <c r="W218" s="111">
        <f t="shared" si="70"/>
        <v>11811186.475</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4947</v>
      </c>
      <c r="R219" s="19" t="s">
        <v>5157</v>
      </c>
      <c r="S219" s="115">
        <v>-700000</v>
      </c>
      <c r="T219" s="207" t="s">
        <v>4664</v>
      </c>
      <c r="U219" s="207">
        <v>160187</v>
      </c>
      <c r="V219" s="111">
        <v>257.49799999999999</v>
      </c>
      <c r="W219" s="111">
        <f t="shared" si="70"/>
        <v>41247832.126000002</v>
      </c>
      <c r="X219" s="97" t="s">
        <v>744</v>
      </c>
      <c r="Y219" t="s">
        <v>25</v>
      </c>
      <c r="AA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9" t="s">
        <v>4947</v>
      </c>
      <c r="R220" s="19" t="s">
        <v>5167</v>
      </c>
      <c r="S220" s="115">
        <v>-60000</v>
      </c>
      <c r="T220" s="207" t="s">
        <v>4664</v>
      </c>
      <c r="U220" s="207">
        <v>160187</v>
      </c>
      <c r="V220" s="111">
        <v>257.49799999999999</v>
      </c>
      <c r="W220" s="111">
        <f t="shared" si="70"/>
        <v>41247832.126000002</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5226</v>
      </c>
      <c r="S221" s="115">
        <v>700000</v>
      </c>
      <c r="T221" s="207" t="s">
        <v>4671</v>
      </c>
      <c r="U221" s="207">
        <v>144401</v>
      </c>
      <c r="V221" s="111">
        <v>258.5061</v>
      </c>
      <c r="W221" s="111">
        <f t="shared" si="70"/>
        <v>37328539.346100003</v>
      </c>
      <c r="X221" s="97" t="s">
        <v>744</v>
      </c>
      <c r="Z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1071</v>
      </c>
      <c r="R222" s="187" t="s">
        <v>5245</v>
      </c>
      <c r="S222" s="186">
        <v>40000000</v>
      </c>
      <c r="T222" s="207" t="s">
        <v>4671</v>
      </c>
      <c r="U222" s="207">
        <v>144401</v>
      </c>
      <c r="V222" s="111">
        <v>258.5061</v>
      </c>
      <c r="W222" s="111">
        <f t="shared" si="70"/>
        <v>37328539.346100003</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9" t="s">
        <v>4409</v>
      </c>
      <c r="R223" s="19" t="s">
        <v>5249</v>
      </c>
      <c r="S223" s="115">
        <v>-800000</v>
      </c>
      <c r="T223" s="166" t="s">
        <v>4677</v>
      </c>
      <c r="U223" s="166">
        <v>196500</v>
      </c>
      <c r="V223" s="111">
        <v>254.452</v>
      </c>
      <c r="W223" s="111">
        <f t="shared" si="70"/>
        <v>49999818</v>
      </c>
      <c r="X223" s="97" t="s">
        <v>4680</v>
      </c>
      <c r="Y223" t="s">
        <v>25</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207" t="s">
        <v>4409</v>
      </c>
      <c r="R224" s="207" t="s">
        <v>5332</v>
      </c>
      <c r="S224" s="115">
        <v>700000</v>
      </c>
      <c r="T224" s="207" t="s">
        <v>4677</v>
      </c>
      <c r="U224" s="207">
        <v>2561</v>
      </c>
      <c r="V224" s="111">
        <v>254.536</v>
      </c>
      <c r="W224" s="111">
        <f t="shared" si="70"/>
        <v>651866.696</v>
      </c>
      <c r="X224" s="97" t="s">
        <v>4681</v>
      </c>
      <c r="AA224" t="s">
        <v>25</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5347</v>
      </c>
      <c r="S225" s="186">
        <v>-26000000</v>
      </c>
      <c r="T225" s="207" t="s">
        <v>4721</v>
      </c>
      <c r="U225" s="207">
        <v>-11795</v>
      </c>
      <c r="V225" s="111">
        <v>254.334</v>
      </c>
      <c r="W225" s="111">
        <f t="shared" si="70"/>
        <v>-2999869.5300000003</v>
      </c>
      <c r="X225" s="97" t="s">
        <v>4722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5349</v>
      </c>
      <c r="R226" s="187" t="s">
        <v>5351</v>
      </c>
      <c r="S226" s="186">
        <v>-95900000</v>
      </c>
      <c r="T226" s="207" t="s">
        <v>4721</v>
      </c>
      <c r="U226" s="207">
        <v>11795</v>
      </c>
      <c r="V226" s="111">
        <v>254.334</v>
      </c>
      <c r="W226" s="111">
        <f t="shared" si="70"/>
        <v>2999869.5300000003</v>
      </c>
      <c r="X226" s="97" t="s">
        <v>4723</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5349</v>
      </c>
      <c r="R227" s="187" t="s">
        <v>5352</v>
      </c>
      <c r="S227" s="186">
        <v>-28950000</v>
      </c>
      <c r="T227" s="207" t="s">
        <v>4735</v>
      </c>
      <c r="U227" s="207">
        <v>260</v>
      </c>
      <c r="V227" s="111">
        <v>263.19</v>
      </c>
      <c r="W227" s="111">
        <f t="shared" si="70"/>
        <v>68429.399999999994</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5368</v>
      </c>
      <c r="R228" s="187" t="s">
        <v>5366</v>
      </c>
      <c r="S228" s="186">
        <v>1896188</v>
      </c>
      <c r="T228" s="207" t="s">
        <v>4744</v>
      </c>
      <c r="U228" s="207">
        <v>15257</v>
      </c>
      <c r="V228" s="111">
        <v>262.19018</v>
      </c>
      <c r="W228" s="111">
        <f t="shared" si="70"/>
        <v>4000235.57626</v>
      </c>
      <c r="X228" s="97" t="s">
        <v>452</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5535</v>
      </c>
      <c r="R229" s="187" t="s">
        <v>4212</v>
      </c>
      <c r="S229" s="186">
        <v>13752871.322800001</v>
      </c>
      <c r="T229" s="207" t="s">
        <v>4744</v>
      </c>
      <c r="U229" s="207">
        <v>8444</v>
      </c>
      <c r="V229" s="111">
        <v>266.43029999999999</v>
      </c>
      <c r="W229" s="111">
        <f t="shared" si="70"/>
        <v>2249737.4531999999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5547</v>
      </c>
      <c r="R230" s="19" t="s">
        <v>5544</v>
      </c>
      <c r="S230" s="115">
        <v>3123901.3702000002</v>
      </c>
      <c r="T230" s="207" t="s">
        <v>4749</v>
      </c>
      <c r="U230" s="207">
        <v>-6209</v>
      </c>
      <c r="V230" s="111">
        <v>273.79649999999998</v>
      </c>
      <c r="W230" s="111">
        <f t="shared" si="70"/>
        <v>-1700002.4685</v>
      </c>
      <c r="X230" s="97" t="s">
        <v>4760</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5914</v>
      </c>
      <c r="R231" s="187" t="s">
        <v>5619</v>
      </c>
      <c r="S231" s="186">
        <v>-322076.40905199997</v>
      </c>
      <c r="T231" s="207" t="s">
        <v>4749</v>
      </c>
      <c r="U231" s="207">
        <v>-8014</v>
      </c>
      <c r="V231" s="111">
        <v>273.79649999999998</v>
      </c>
      <c r="W231" s="111">
        <f t="shared" si="70"/>
        <v>-2194205.1510000001</v>
      </c>
      <c r="X231" s="97" t="s">
        <v>744</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9" t="s">
        <v>4947</v>
      </c>
      <c r="R232" s="19" t="s">
        <v>5619</v>
      </c>
      <c r="S232" s="115">
        <v>-1500000</v>
      </c>
      <c r="T232" s="207" t="s">
        <v>4758</v>
      </c>
      <c r="U232" s="207">
        <v>-9176</v>
      </c>
      <c r="V232" s="111">
        <v>273.79649999999998</v>
      </c>
      <c r="W232" s="111">
        <f t="shared" si="70"/>
        <v>-2512356.6839999999</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5633</v>
      </c>
      <c r="R233" s="187" t="s">
        <v>5619</v>
      </c>
      <c r="S233" s="186">
        <v>15000000</v>
      </c>
      <c r="T233" s="207" t="s">
        <v>4758</v>
      </c>
      <c r="U233" s="207">
        <v>1087</v>
      </c>
      <c r="V233" s="111">
        <v>273.79649999999998</v>
      </c>
      <c r="W233" s="111">
        <f t="shared" si="70"/>
        <v>297616.79550000001</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5649</v>
      </c>
      <c r="R234" s="187" t="s">
        <v>5643</v>
      </c>
      <c r="S234" s="186">
        <v>-1500000</v>
      </c>
      <c r="T234" s="207" t="s">
        <v>966</v>
      </c>
      <c r="U234" s="207">
        <v>-4017</v>
      </c>
      <c r="V234" s="111">
        <v>273.79649999999998</v>
      </c>
      <c r="W234" s="111">
        <f t="shared" si="70"/>
        <v>-1099840.5404999999</v>
      </c>
      <c r="X234" s="97" t="s">
        <v>4409</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5732</v>
      </c>
      <c r="R235" s="187" t="s">
        <v>5729</v>
      </c>
      <c r="S235" s="186">
        <v>-70000</v>
      </c>
      <c r="T235" s="207" t="s">
        <v>966</v>
      </c>
      <c r="U235" s="207">
        <v>4017</v>
      </c>
      <c r="V235" s="111">
        <v>273.79649999999998</v>
      </c>
      <c r="W235" s="111">
        <f t="shared" si="70"/>
        <v>1099840.5404999999</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5739</v>
      </c>
      <c r="R236" s="187" t="s">
        <v>5736</v>
      </c>
      <c r="S236" s="186">
        <v>1300000</v>
      </c>
      <c r="T236" s="207" t="s">
        <v>4765</v>
      </c>
      <c r="U236" s="207">
        <v>3137</v>
      </c>
      <c r="V236" s="111">
        <v>283.69110000000001</v>
      </c>
      <c r="W236" s="111">
        <f t="shared" si="70"/>
        <v>889938.98070000007</v>
      </c>
      <c r="X236" s="97" t="s">
        <v>452</v>
      </c>
      <c r="Y236" t="s">
        <v>25</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60</v>
      </c>
      <c r="R237" s="187" t="s">
        <v>5748</v>
      </c>
      <c r="S237" s="186">
        <v>90000000</v>
      </c>
      <c r="T237" s="207" t="s">
        <v>4778</v>
      </c>
      <c r="U237" s="207">
        <v>101933</v>
      </c>
      <c r="V237" s="111">
        <v>294.30973999999998</v>
      </c>
      <c r="W237" s="111">
        <f t="shared" si="70"/>
        <v>29999874.727419998</v>
      </c>
      <c r="X237" s="97" t="s">
        <v>1071</v>
      </c>
      <c r="Y237" t="s">
        <v>25</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5844</v>
      </c>
      <c r="R238" s="187" t="s">
        <v>5840</v>
      </c>
      <c r="S238" s="186">
        <v>33832510.64875</v>
      </c>
      <c r="T238" s="207" t="s">
        <v>4785</v>
      </c>
      <c r="U238" s="207">
        <v>3407</v>
      </c>
      <c r="V238" s="111">
        <v>293.43799999999999</v>
      </c>
      <c r="W238" s="111">
        <f t="shared" si="70"/>
        <v>999743.26599999995</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87" t="s">
        <v>5876</v>
      </c>
      <c r="R239" s="187" t="s">
        <v>5871</v>
      </c>
      <c r="S239" s="186">
        <v>21634932</v>
      </c>
      <c r="T239" s="207" t="s">
        <v>4786</v>
      </c>
      <c r="U239" s="207">
        <v>68796</v>
      </c>
      <c r="V239" s="111">
        <v>293.53250000000003</v>
      </c>
      <c r="W239" s="111">
        <f t="shared" si="70"/>
        <v>20193861.870000001</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87" t="s">
        <v>4737</v>
      </c>
      <c r="R240" s="187" t="s">
        <v>5871</v>
      </c>
      <c r="S240" s="186">
        <v>-22520813.151772</v>
      </c>
      <c r="T240" s="207" t="s">
        <v>4786</v>
      </c>
      <c r="U240" s="207">
        <v>154791</v>
      </c>
      <c r="V240" s="111">
        <v>293.53250000000003</v>
      </c>
      <c r="W240" s="111">
        <f t="shared" si="70"/>
        <v>45436189.207500003</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19" t="s">
        <v>6473</v>
      </c>
      <c r="R241" s="19" t="s">
        <v>6470</v>
      </c>
      <c r="S241" s="115">
        <v>-6000000</v>
      </c>
      <c r="T241" s="207" t="s">
        <v>4786</v>
      </c>
      <c r="U241" s="207">
        <v>-11923</v>
      </c>
      <c r="V241" s="111">
        <v>293.53250000000003</v>
      </c>
      <c r="W241" s="111">
        <f t="shared" si="70"/>
        <v>-3499787.9975000005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19"/>
      <c r="R242" s="19"/>
      <c r="S242" s="115"/>
      <c r="T242" s="207" t="s">
        <v>4798</v>
      </c>
      <c r="U242" s="207">
        <v>8424</v>
      </c>
      <c r="V242" s="111">
        <v>299.15170000000001</v>
      </c>
      <c r="W242" s="111">
        <f t="shared" si="70"/>
        <v>2520053.9208</v>
      </c>
      <c r="X242" s="97" t="s">
        <v>452</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207" t="s">
        <v>25</v>
      </c>
      <c r="R243" s="207"/>
      <c r="S243" s="111"/>
      <c r="T243" s="207" t="s">
        <v>4833</v>
      </c>
      <c r="U243" s="207">
        <v>15943</v>
      </c>
      <c r="V243" s="111">
        <v>307.34415000000001</v>
      </c>
      <c r="W243" s="111">
        <f t="shared" si="70"/>
        <v>4899987.78345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207"/>
      <c r="R244" s="207"/>
      <c r="S244" s="111">
        <f>SUM(S202:S243)</f>
        <v>110726068.78092602</v>
      </c>
      <c r="T244" s="207" t="s">
        <v>4851</v>
      </c>
      <c r="U244" s="207">
        <v>3741</v>
      </c>
      <c r="V244" s="111">
        <v>307.34415000000001</v>
      </c>
      <c r="W244" s="111">
        <f t="shared" si="70"/>
        <v>1149774.4651500001</v>
      </c>
      <c r="X244" s="97" t="s">
        <v>452</v>
      </c>
      <c r="Z244" t="s">
        <v>25</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41"/>
      <c r="R245" s="207"/>
      <c r="S245" s="207" t="s">
        <v>6</v>
      </c>
      <c r="T245" s="207" t="s">
        <v>4856</v>
      </c>
      <c r="U245" s="207">
        <v>-6207</v>
      </c>
      <c r="V245" s="111">
        <v>322.214</v>
      </c>
      <c r="W245" s="111">
        <f t="shared" si="70"/>
        <v>-1999982.298</v>
      </c>
      <c r="X245" s="97" t="s">
        <v>744</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c r="T246" s="207" t="s">
        <v>4856</v>
      </c>
      <c r="U246" s="207">
        <v>6207</v>
      </c>
      <c r="V246" s="111">
        <v>322.214</v>
      </c>
      <c r="W246" s="111">
        <f t="shared" si="70"/>
        <v>1999982.298</v>
      </c>
      <c r="X246" s="97" t="s">
        <v>4409</v>
      </c>
      <c r="AH246" s="97">
        <v>226</v>
      </c>
      <c r="AI246" s="111" t="s">
        <v>5736</v>
      </c>
      <c r="AJ246" s="111">
        <v>330000</v>
      </c>
      <c r="AK246" s="97">
        <v>1</v>
      </c>
      <c r="AL246" s="20">
        <f t="shared" si="77"/>
        <v>96</v>
      </c>
      <c r="AM246" s="115">
        <f t="shared" si="78"/>
        <v>31680000</v>
      </c>
      <c r="AN246" s="20"/>
    </row>
    <row r="247" spans="7:46">
      <c r="G247" s="207" t="s">
        <v>5750</v>
      </c>
      <c r="H247" s="111">
        <v>2893243.5730909999</v>
      </c>
      <c r="Q247" s="94" t="s">
        <v>25</v>
      </c>
      <c r="R247" s="94" t="s">
        <v>25</v>
      </c>
      <c r="T247" s="207" t="s">
        <v>4805</v>
      </c>
      <c r="U247" s="207">
        <v>776</v>
      </c>
      <c r="V247" s="111">
        <v>322.214</v>
      </c>
      <c r="W247" s="111">
        <f t="shared" si="70"/>
        <v>250038.06400000001</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4" t="s">
        <v>25</v>
      </c>
      <c r="R248" s="94" t="s">
        <v>25</v>
      </c>
      <c r="S248" t="s">
        <v>25</v>
      </c>
      <c r="T248" s="207" t="s">
        <v>4878</v>
      </c>
      <c r="U248" s="207">
        <v>1524</v>
      </c>
      <c r="V248" s="111">
        <v>314.95999999999998</v>
      </c>
      <c r="W248" s="111">
        <f t="shared" si="70"/>
        <v>479999.04</v>
      </c>
      <c r="X248" s="97" t="s">
        <v>1071</v>
      </c>
      <c r="AH248" s="97">
        <v>228</v>
      </c>
      <c r="AI248" s="111" t="s">
        <v>5857</v>
      </c>
      <c r="AJ248" s="111">
        <v>150000</v>
      </c>
      <c r="AK248" s="97">
        <v>10</v>
      </c>
      <c r="AL248" s="20">
        <f t="shared" si="77"/>
        <v>77</v>
      </c>
      <c r="AM248" s="115"/>
      <c r="AN248" s="20"/>
    </row>
    <row r="249" spans="7:46">
      <c r="G249" s="207" t="s">
        <v>5758</v>
      </c>
      <c r="H249" s="111">
        <v>275021.925965</v>
      </c>
      <c r="K249" t="s">
        <v>25</v>
      </c>
      <c r="S249" t="s">
        <v>25</v>
      </c>
      <c r="T249" s="207" t="s">
        <v>4885</v>
      </c>
      <c r="U249" s="207">
        <v>4435</v>
      </c>
      <c r="V249" s="111">
        <v>316.4375</v>
      </c>
      <c r="W249" s="111">
        <f t="shared" si="70"/>
        <v>1403400.3125</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744</v>
      </c>
      <c r="R250" s="97"/>
      <c r="S250" t="s">
        <v>25</v>
      </c>
      <c r="T250" s="207" t="s">
        <v>4888</v>
      </c>
      <c r="U250" s="207">
        <v>624</v>
      </c>
      <c r="V250" s="111">
        <v>320.5</v>
      </c>
      <c r="W250" s="111">
        <f t="shared" si="70"/>
        <v>199992</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4402</v>
      </c>
      <c r="R251" s="93">
        <v>172908000</v>
      </c>
      <c r="T251" s="207" t="s">
        <v>4893</v>
      </c>
      <c r="U251" s="207">
        <v>1086</v>
      </c>
      <c r="V251" s="111">
        <v>317.55</v>
      </c>
      <c r="W251" s="111">
        <f t="shared" si="70"/>
        <v>344859.3</v>
      </c>
      <c r="X251" s="97" t="s">
        <v>452</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4435</v>
      </c>
      <c r="R252" s="93">
        <v>1400000</v>
      </c>
      <c r="T252" s="207" t="s">
        <v>4898</v>
      </c>
      <c r="U252" s="207">
        <v>2820</v>
      </c>
      <c r="V252" s="111">
        <v>319.1096</v>
      </c>
      <c r="W252" s="111">
        <f t="shared" si="70"/>
        <v>899889.07200000004</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4208</v>
      </c>
      <c r="R253" s="93">
        <v>247393</v>
      </c>
      <c r="S253" t="s">
        <v>25</v>
      </c>
      <c r="T253" s="207" t="s">
        <v>4901</v>
      </c>
      <c r="U253" s="207">
        <v>1145</v>
      </c>
      <c r="V253" s="111">
        <v>325.44</v>
      </c>
      <c r="W253" s="111">
        <f t="shared" si="70"/>
        <v>372628.8</v>
      </c>
      <c r="X253" s="97" t="s">
        <v>452</v>
      </c>
      <c r="Y253" t="s">
        <v>25</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4207</v>
      </c>
      <c r="R254" s="93">
        <v>6780000</v>
      </c>
      <c r="T254" s="207" t="s">
        <v>4909</v>
      </c>
      <c r="U254" s="207">
        <v>20153</v>
      </c>
      <c r="V254" s="111">
        <v>322</v>
      </c>
      <c r="W254" s="111">
        <f t="shared" si="70"/>
        <v>6489266</v>
      </c>
      <c r="X254" s="97" t="s">
        <v>452</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4533</v>
      </c>
      <c r="R255" s="93">
        <v>-4000000</v>
      </c>
      <c r="T255" s="207" t="s">
        <v>4919</v>
      </c>
      <c r="U255" s="207">
        <v>93720</v>
      </c>
      <c r="V255" s="111">
        <v>325.435</v>
      </c>
      <c r="W255" s="111">
        <f t="shared" si="70"/>
        <v>30499768.199999999</v>
      </c>
      <c r="X255" s="97" t="s">
        <v>1071</v>
      </c>
      <c r="AH255" s="97">
        <v>235</v>
      </c>
      <c r="AI255" s="111" t="s">
        <v>5889</v>
      </c>
      <c r="AJ255" s="111">
        <v>-30000000</v>
      </c>
      <c r="AK255" s="97">
        <v>3</v>
      </c>
      <c r="AL255" s="20">
        <f t="shared" si="77"/>
        <v>64</v>
      </c>
      <c r="AM255" s="115"/>
      <c r="AN255" s="263" t="s">
        <v>5890</v>
      </c>
    </row>
    <row r="256" spans="7:46">
      <c r="G256" s="207" t="s">
        <v>5792</v>
      </c>
      <c r="H256" s="111">
        <v>29767389.390390001</v>
      </c>
      <c r="Q256" s="97" t="s">
        <v>4558</v>
      </c>
      <c r="R256" s="93">
        <v>16727037</v>
      </c>
      <c r="T256" s="207" t="s">
        <v>4919</v>
      </c>
      <c r="U256" s="207">
        <v>20895</v>
      </c>
      <c r="V256" s="111">
        <v>325.435</v>
      </c>
      <c r="W256" s="111">
        <f t="shared" si="70"/>
        <v>6799964.3250000002</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4563</v>
      </c>
      <c r="R257" s="93">
        <v>46460683</v>
      </c>
      <c r="S257" t="s">
        <v>25</v>
      </c>
      <c r="T257" s="207" t="s">
        <v>4926</v>
      </c>
      <c r="U257" s="207">
        <v>2611</v>
      </c>
      <c r="V257" s="111">
        <v>325.435</v>
      </c>
      <c r="W257" s="111">
        <f t="shared" si="70"/>
        <v>849710.78500000003</v>
      </c>
      <c r="X257" s="97" t="s">
        <v>744</v>
      </c>
      <c r="AA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4564</v>
      </c>
      <c r="R258" s="93">
        <v>19663646</v>
      </c>
      <c r="T258" s="207" t="s">
        <v>4934</v>
      </c>
      <c r="U258" s="207">
        <v>6750</v>
      </c>
      <c r="V258" s="111">
        <v>339.3</v>
      </c>
      <c r="W258" s="111">
        <f t="shared" si="70"/>
        <v>2290275</v>
      </c>
      <c r="X258" s="97" t="s">
        <v>744</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4585</v>
      </c>
      <c r="R259" s="93">
        <v>4374525</v>
      </c>
      <c r="T259" s="207" t="s">
        <v>4942</v>
      </c>
      <c r="U259" s="207">
        <v>1850</v>
      </c>
      <c r="V259" s="111">
        <v>334.10050000000001</v>
      </c>
      <c r="W259" s="111">
        <f t="shared" si="70"/>
        <v>618085.92500000005</v>
      </c>
      <c r="X259" s="97" t="s">
        <v>452</v>
      </c>
      <c r="Y259" t="s">
        <v>25</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4596</v>
      </c>
      <c r="R260" s="93">
        <v>6550580</v>
      </c>
      <c r="T260" s="207" t="s">
        <v>4942</v>
      </c>
      <c r="U260" s="207">
        <v>-1194</v>
      </c>
      <c r="V260" s="111">
        <v>335</v>
      </c>
      <c r="W260" s="111">
        <f t="shared" si="70"/>
        <v>-399990</v>
      </c>
      <c r="X260" s="97" t="s">
        <v>4409</v>
      </c>
      <c r="Y260" t="s">
        <v>25</v>
      </c>
      <c r="AH260" s="97">
        <v>240</v>
      </c>
      <c r="AI260" s="111" t="s">
        <v>6534</v>
      </c>
      <c r="AJ260" s="111">
        <v>50000000</v>
      </c>
      <c r="AK260" s="97">
        <v>10</v>
      </c>
      <c r="AL260" s="20">
        <f t="shared" si="77"/>
        <v>11</v>
      </c>
      <c r="AM260" s="115"/>
      <c r="AN260" s="263" t="s">
        <v>6535</v>
      </c>
    </row>
    <row r="261" spans="7:45">
      <c r="G261" s="207" t="s">
        <v>5814</v>
      </c>
      <c r="H261" s="111">
        <v>558320.40202399995</v>
      </c>
      <c r="J261" t="s">
        <v>25</v>
      </c>
      <c r="Q261" s="97" t="s">
        <v>4598</v>
      </c>
      <c r="R261" s="93">
        <v>6650895</v>
      </c>
      <c r="T261" s="207" t="s">
        <v>4942</v>
      </c>
      <c r="U261" s="207">
        <v>1194</v>
      </c>
      <c r="V261" s="111">
        <v>335</v>
      </c>
      <c r="W261" s="111">
        <f t="shared" si="70"/>
        <v>399990</v>
      </c>
      <c r="X261" s="97" t="s">
        <v>744</v>
      </c>
      <c r="AH261" s="97">
        <v>241</v>
      </c>
      <c r="AI261" s="111" t="s">
        <v>6547</v>
      </c>
      <c r="AJ261" s="111">
        <v>8200000</v>
      </c>
      <c r="AK261" s="97">
        <v>1</v>
      </c>
      <c r="AL261" s="20">
        <f t="shared" si="77"/>
        <v>1</v>
      </c>
      <c r="AM261" s="115"/>
      <c r="AN261" s="263" t="s">
        <v>6535</v>
      </c>
      <c r="AR261" t="s">
        <v>25</v>
      </c>
      <c r="AS261" t="s">
        <v>25</v>
      </c>
    </row>
    <row r="262" spans="7:45">
      <c r="G262" s="207" t="s">
        <v>5816</v>
      </c>
      <c r="H262" s="111">
        <v>207642.22201140001</v>
      </c>
      <c r="J262" t="s">
        <v>25</v>
      </c>
      <c r="Q262" s="97" t="s">
        <v>4614</v>
      </c>
      <c r="R262" s="93">
        <v>2145814</v>
      </c>
      <c r="T262" s="207" t="s">
        <v>4949</v>
      </c>
      <c r="U262" s="207">
        <v>433</v>
      </c>
      <c r="V262" s="111">
        <v>345.68</v>
      </c>
      <c r="W262" s="111">
        <f t="shared" si="70"/>
        <v>149679.44</v>
      </c>
      <c r="X262" s="97" t="s">
        <v>744</v>
      </c>
      <c r="AH262" s="97"/>
      <c r="AI262" s="111"/>
      <c r="AJ262" s="111"/>
      <c r="AK262" s="97"/>
      <c r="AL262" s="20">
        <f t="shared" si="77"/>
        <v>0</v>
      </c>
      <c r="AM262" s="115"/>
      <c r="AN262" s="263"/>
    </row>
    <row r="263" spans="7:45" ht="17.25" customHeight="1">
      <c r="G263" s="284" t="s">
        <v>5855</v>
      </c>
      <c r="H263" s="88">
        <v>637977.33504399995</v>
      </c>
      <c r="Q263" s="97" t="s">
        <v>4625</v>
      </c>
      <c r="R263" s="93">
        <v>4369730</v>
      </c>
      <c r="T263" s="207" t="s">
        <v>4953</v>
      </c>
      <c r="U263" s="207">
        <v>55459</v>
      </c>
      <c r="V263" s="111">
        <v>362.51978000000003</v>
      </c>
      <c r="W263" s="111">
        <f t="shared" si="70"/>
        <v>20104984.479020003</v>
      </c>
      <c r="X263" s="97" t="s">
        <v>452</v>
      </c>
      <c r="AH263" s="97"/>
      <c r="AI263" s="111"/>
      <c r="AJ263" s="111"/>
      <c r="AK263" s="97"/>
      <c r="AL263" s="20">
        <f t="shared" si="77"/>
        <v>0</v>
      </c>
      <c r="AM263" s="115"/>
      <c r="AN263" s="263"/>
      <c r="AS263" t="s">
        <v>25</v>
      </c>
    </row>
    <row r="264" spans="7:45">
      <c r="G264" s="207" t="s">
        <v>5856</v>
      </c>
      <c r="H264" s="111">
        <v>466552.25632400002</v>
      </c>
      <c r="Q264" s="97" t="s">
        <v>4627</v>
      </c>
      <c r="R264" s="93">
        <v>8739459</v>
      </c>
      <c r="S264" t="s">
        <v>25</v>
      </c>
      <c r="T264" s="207" t="s">
        <v>4957</v>
      </c>
      <c r="U264" s="207">
        <v>-57212</v>
      </c>
      <c r="V264" s="111">
        <v>368.45400000000001</v>
      </c>
      <c r="W264" s="111">
        <f t="shared" si="70"/>
        <v>-21079990.248</v>
      </c>
      <c r="X264" s="97" t="s">
        <v>452</v>
      </c>
      <c r="AH264" s="97"/>
      <c r="AI264" s="111"/>
      <c r="AJ264" s="111"/>
      <c r="AK264" s="97"/>
      <c r="AL264" s="20">
        <f t="shared" si="77"/>
        <v>0</v>
      </c>
      <c r="AM264" s="115"/>
      <c r="AN264" s="263"/>
    </row>
    <row r="265" spans="7:45">
      <c r="G265" s="207" t="s">
        <v>5857</v>
      </c>
      <c r="H265" s="111">
        <v>189134.85153000001</v>
      </c>
      <c r="J265" t="s">
        <v>25</v>
      </c>
      <c r="Q265" s="97" t="s">
        <v>4636</v>
      </c>
      <c r="R265" s="93">
        <v>6667654</v>
      </c>
      <c r="T265" s="207" t="s">
        <v>4958</v>
      </c>
      <c r="U265" s="207">
        <v>-15881</v>
      </c>
      <c r="V265" s="111">
        <v>374.61599999999999</v>
      </c>
      <c r="W265" s="111">
        <f t="shared" si="70"/>
        <v>-5949276.6959999995</v>
      </c>
      <c r="X265" s="97" t="s">
        <v>452</v>
      </c>
      <c r="AH265" s="97"/>
      <c r="AI265" s="111"/>
      <c r="AJ265" s="111"/>
      <c r="AK265" s="97"/>
      <c r="AL265" s="20">
        <f t="shared" si="77"/>
        <v>0</v>
      </c>
      <c r="AM265" s="115"/>
      <c r="AN265" s="20"/>
    </row>
    <row r="266" spans="7:45">
      <c r="G266" s="207" t="s">
        <v>5862</v>
      </c>
      <c r="H266" s="111">
        <v>564888.82799599995</v>
      </c>
      <c r="Q266" s="97" t="s">
        <v>4644</v>
      </c>
      <c r="R266" s="93">
        <v>8981245</v>
      </c>
      <c r="T266" s="207" t="s">
        <v>4964</v>
      </c>
      <c r="U266" s="207">
        <v>-41289</v>
      </c>
      <c r="V266" s="111">
        <v>372.27</v>
      </c>
      <c r="W266" s="111">
        <f t="shared" si="70"/>
        <v>-15370656.029999999</v>
      </c>
      <c r="X266" s="97" t="s">
        <v>452</v>
      </c>
      <c r="AH266" s="97"/>
      <c r="AI266" s="111"/>
      <c r="AJ266" s="111"/>
      <c r="AK266" s="97"/>
      <c r="AL266" s="20">
        <f t="shared" si="77"/>
        <v>0</v>
      </c>
      <c r="AM266" s="115"/>
      <c r="AN266" s="20"/>
    </row>
    <row r="267" spans="7:45" ht="20.25" customHeight="1">
      <c r="G267" s="207" t="s">
        <v>5906</v>
      </c>
      <c r="H267" s="111">
        <v>259993.58394100002</v>
      </c>
      <c r="Q267" s="97" t="s">
        <v>4648</v>
      </c>
      <c r="R267" s="93">
        <v>9181756</v>
      </c>
      <c r="T267" s="207" t="s">
        <v>4970</v>
      </c>
      <c r="U267" s="207">
        <v>13563</v>
      </c>
      <c r="V267" s="111">
        <v>365.69799999999998</v>
      </c>
      <c r="W267" s="111">
        <f t="shared" si="70"/>
        <v>4959961.9739999995</v>
      </c>
      <c r="X267" s="97" t="s">
        <v>452</v>
      </c>
      <c r="AH267" s="97"/>
      <c r="AI267" s="111"/>
      <c r="AJ267" s="111"/>
      <c r="AK267" s="97"/>
      <c r="AL267" s="20">
        <f t="shared" si="77"/>
        <v>0</v>
      </c>
      <c r="AM267" s="115"/>
      <c r="AN267" s="20"/>
      <c r="AS267" t="s">
        <v>25</v>
      </c>
    </row>
    <row r="268" spans="7:45">
      <c r="G268" s="207" t="s">
        <v>5910</v>
      </c>
      <c r="H268" s="111">
        <v>269955.31205999997</v>
      </c>
      <c r="Q268" s="97" t="s">
        <v>4651</v>
      </c>
      <c r="R268" s="93">
        <v>11811208</v>
      </c>
      <c r="S268" t="s">
        <v>25</v>
      </c>
      <c r="T268" s="207" t="s">
        <v>4970</v>
      </c>
      <c r="U268" s="207">
        <v>27344</v>
      </c>
      <c r="V268" s="111">
        <v>365.69799999999998</v>
      </c>
      <c r="W268" s="111">
        <f t="shared" si="70"/>
        <v>9999646.1119999997</v>
      </c>
      <c r="X268" s="97" t="s">
        <v>452</v>
      </c>
      <c r="AH268" s="97"/>
      <c r="AI268" s="111"/>
      <c r="AJ268" s="111">
        <v>0</v>
      </c>
      <c r="AK268" s="97"/>
      <c r="AL268" s="20">
        <f t="shared" si="77"/>
        <v>0</v>
      </c>
      <c r="AM268" s="115">
        <f t="shared" si="78"/>
        <v>0</v>
      </c>
      <c r="AN268" s="20"/>
    </row>
    <row r="269" spans="7:45" ht="21.75" customHeight="1">
      <c r="G269" s="207" t="s">
        <v>6458</v>
      </c>
      <c r="H269" s="111">
        <v>560534.38387200003</v>
      </c>
      <c r="Q269" s="97" t="s">
        <v>4664</v>
      </c>
      <c r="R269" s="93">
        <v>41248054</v>
      </c>
      <c r="S269" t="s">
        <v>25</v>
      </c>
      <c r="T269" s="207" t="s">
        <v>4977</v>
      </c>
      <c r="U269" s="207">
        <v>-103145</v>
      </c>
      <c r="V269" s="111">
        <v>393.334</v>
      </c>
      <c r="W269" s="111">
        <f t="shared" si="70"/>
        <v>-40570435.43</v>
      </c>
      <c r="X269" s="36" t="s">
        <v>4982</v>
      </c>
      <c r="AH269" s="97"/>
      <c r="AI269" s="111"/>
      <c r="AJ269" s="111"/>
      <c r="AK269" s="97">
        <v>0</v>
      </c>
      <c r="AL269" s="20">
        <f t="shared" si="77"/>
        <v>0</v>
      </c>
      <c r="AM269" s="115">
        <f t="shared" si="78"/>
        <v>0</v>
      </c>
      <c r="AN269" s="20"/>
    </row>
    <row r="270" spans="7:45">
      <c r="G270" s="207" t="s">
        <v>6467</v>
      </c>
      <c r="H270" s="111">
        <v>581484.96802499995</v>
      </c>
      <c r="Q270" s="97" t="s">
        <v>4671</v>
      </c>
      <c r="R270" s="93">
        <v>37328780</v>
      </c>
      <c r="T270" s="207" t="s">
        <v>4977</v>
      </c>
      <c r="U270" s="207">
        <v>-369</v>
      </c>
      <c r="V270" s="111">
        <v>393.334</v>
      </c>
      <c r="W270" s="111">
        <f t="shared" si="70"/>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4749</v>
      </c>
      <c r="R271" s="93">
        <v>-2194100</v>
      </c>
      <c r="T271" s="207" t="s">
        <v>4977</v>
      </c>
      <c r="U271" s="207">
        <v>-889</v>
      </c>
      <c r="V271" s="111">
        <v>393.334</v>
      </c>
      <c r="W271" s="111">
        <f t="shared" si="70"/>
        <v>-349673.92599999998</v>
      </c>
      <c r="X271" s="36" t="s">
        <v>5055</v>
      </c>
      <c r="AH271" s="97"/>
      <c r="AI271" s="97"/>
      <c r="AJ271" s="97" t="s">
        <v>4043</v>
      </c>
      <c r="AK271" s="97"/>
      <c r="AL271" s="97"/>
      <c r="AM271" s="97" t="s">
        <v>284</v>
      </c>
      <c r="AN271" s="97" t="s">
        <v>928</v>
      </c>
      <c r="AR271" t="s">
        <v>25</v>
      </c>
    </row>
    <row r="272" spans="7:45">
      <c r="G272" s="207" t="s">
        <v>6474</v>
      </c>
      <c r="H272" s="111">
        <v>593783.22629999998</v>
      </c>
      <c r="J272" t="s">
        <v>25</v>
      </c>
      <c r="Q272" s="97" t="s">
        <v>4786</v>
      </c>
      <c r="R272" s="93">
        <v>20193916</v>
      </c>
      <c r="T272" s="207" t="s">
        <v>4986</v>
      </c>
      <c r="U272" s="207">
        <v>2546</v>
      </c>
      <c r="V272" s="111">
        <v>393</v>
      </c>
      <c r="W272" s="111">
        <f t="shared" si="70"/>
        <v>1000578</v>
      </c>
      <c r="X272" s="36" t="s">
        <v>452</v>
      </c>
      <c r="AH272" s="97"/>
      <c r="AI272" s="97"/>
      <c r="AJ272" s="97"/>
      <c r="AK272" s="97"/>
      <c r="AL272" s="97"/>
      <c r="AM272" s="97"/>
      <c r="AN272" s="97"/>
    </row>
    <row r="273" spans="7:40">
      <c r="G273" s="207" t="s">
        <v>6478</v>
      </c>
      <c r="H273" s="111">
        <v>469469.96222000004</v>
      </c>
      <c r="J273" t="s">
        <v>25</v>
      </c>
      <c r="Q273" s="97" t="s">
        <v>4856</v>
      </c>
      <c r="R273" s="93">
        <v>-2000000</v>
      </c>
      <c r="T273" s="207" t="s">
        <v>4987</v>
      </c>
      <c r="U273" s="207">
        <v>1034</v>
      </c>
      <c r="V273" s="111">
        <v>386.608</v>
      </c>
      <c r="W273" s="111">
        <f t="shared" si="70"/>
        <v>399752.67200000002</v>
      </c>
      <c r="X273" s="36" t="s">
        <v>452</v>
      </c>
      <c r="AH273" s="97"/>
      <c r="AI273" s="97"/>
      <c r="AJ273" s="97"/>
      <c r="AK273" s="97"/>
      <c r="AL273" s="97"/>
      <c r="AM273" s="97" t="s">
        <v>4044</v>
      </c>
      <c r="AN273" s="97">
        <v>1.6667000000000001E-2</v>
      </c>
    </row>
    <row r="274" spans="7:40">
      <c r="G274" s="207" t="s">
        <v>6551</v>
      </c>
      <c r="H274" s="111">
        <v>15777944</v>
      </c>
      <c r="Q274" s="97" t="s">
        <v>4919</v>
      </c>
      <c r="R274" s="93">
        <v>6800000</v>
      </c>
      <c r="S274" t="s">
        <v>25</v>
      </c>
      <c r="T274" s="207" t="s">
        <v>4994</v>
      </c>
      <c r="U274" s="207">
        <v>300</v>
      </c>
      <c r="V274" s="111">
        <v>400</v>
      </c>
      <c r="W274" s="111">
        <f t="shared" si="70"/>
        <v>120000</v>
      </c>
      <c r="X274" s="36" t="s">
        <v>452</v>
      </c>
      <c r="AH274" s="97"/>
      <c r="AI274" s="97"/>
      <c r="AJ274" s="97"/>
      <c r="AK274" s="97"/>
      <c r="AL274" s="97"/>
      <c r="AM274" s="97"/>
      <c r="AN274" s="97"/>
    </row>
    <row r="275" spans="7:40">
      <c r="G275" s="207" t="s">
        <v>6564</v>
      </c>
      <c r="H275" s="111">
        <v>3585319.2317280001</v>
      </c>
      <c r="J275" t="s">
        <v>25</v>
      </c>
      <c r="K275" t="s">
        <v>25</v>
      </c>
      <c r="Q275" s="97" t="s">
        <v>4926</v>
      </c>
      <c r="R275" s="93">
        <v>850000</v>
      </c>
      <c r="T275" s="207" t="s">
        <v>5002</v>
      </c>
      <c r="U275" s="207">
        <v>782</v>
      </c>
      <c r="V275" s="111">
        <v>409</v>
      </c>
      <c r="W275" s="111">
        <f t="shared" si="70"/>
        <v>319838</v>
      </c>
      <c r="X275" s="36" t="s">
        <v>744</v>
      </c>
      <c r="AH275" s="97"/>
      <c r="AI275" s="97" t="s">
        <v>4045</v>
      </c>
      <c r="AJ275" s="93">
        <f>AJ270+AN270</f>
        <v>803358295.00366342</v>
      </c>
      <c r="AK275" s="97"/>
      <c r="AL275" s="97"/>
      <c r="AM275" s="97"/>
      <c r="AN275" s="97"/>
    </row>
    <row r="276" spans="7:40">
      <c r="G276" s="207"/>
      <c r="H276" s="111"/>
      <c r="J276" t="s">
        <v>25</v>
      </c>
      <c r="Q276" s="97" t="s">
        <v>4934</v>
      </c>
      <c r="R276" s="93">
        <v>2290500</v>
      </c>
      <c r="T276" s="207" t="s">
        <v>5006</v>
      </c>
      <c r="U276" s="207">
        <v>1220</v>
      </c>
      <c r="V276" s="111">
        <v>409.9</v>
      </c>
      <c r="W276" s="111">
        <f t="shared" si="70"/>
        <v>500078</v>
      </c>
      <c r="X276" s="36" t="s">
        <v>744</v>
      </c>
      <c r="AI276" t="s">
        <v>4048</v>
      </c>
      <c r="AJ276" s="112">
        <f>SUM(N42:N51)</f>
        <v>5579693533</v>
      </c>
      <c r="AM276" t="s">
        <v>25</v>
      </c>
    </row>
    <row r="277" spans="7:40">
      <c r="G277" s="207"/>
      <c r="H277" s="111"/>
      <c r="J277" t="s">
        <v>25</v>
      </c>
      <c r="Q277" s="97" t="s">
        <v>4942</v>
      </c>
      <c r="R277" s="93">
        <v>400000</v>
      </c>
      <c r="S277" t="s">
        <v>25</v>
      </c>
      <c r="T277" s="207" t="s">
        <v>5008</v>
      </c>
      <c r="U277" s="207">
        <v>1285</v>
      </c>
      <c r="V277" s="111">
        <v>388.84</v>
      </c>
      <c r="W277" s="111">
        <f t="shared" si="70"/>
        <v>499659.39999999997</v>
      </c>
      <c r="X277" s="36" t="s">
        <v>452</v>
      </c>
      <c r="AI277" t="s">
        <v>4118</v>
      </c>
      <c r="AJ277" s="112">
        <f>AJ276-AJ270</f>
        <v>5033012583.9384365</v>
      </c>
      <c r="AM277" t="s">
        <v>25</v>
      </c>
    </row>
    <row r="278" spans="7:40">
      <c r="G278" s="207"/>
      <c r="H278" s="111"/>
      <c r="Q278" s="97" t="s">
        <v>4949</v>
      </c>
      <c r="R278" s="93">
        <v>150000</v>
      </c>
      <c r="T278" s="207" t="s">
        <v>4999</v>
      </c>
      <c r="U278" s="207">
        <v>1924</v>
      </c>
      <c r="V278" s="111">
        <v>386.69600000000003</v>
      </c>
      <c r="W278" s="111">
        <f t="shared" si="70"/>
        <v>744003.10400000005</v>
      </c>
      <c r="X278" s="36" t="s">
        <v>452</v>
      </c>
      <c r="AI278" t="s">
        <v>928</v>
      </c>
      <c r="AJ278" s="112">
        <f>AN270</f>
        <v>256677345.94209945</v>
      </c>
      <c r="AN278" t="s">
        <v>25</v>
      </c>
    </row>
    <row r="279" spans="7:40">
      <c r="G279" s="207"/>
      <c r="H279" s="111"/>
      <c r="J279" t="s">
        <v>25</v>
      </c>
      <c r="Q279" s="97" t="s">
        <v>4977</v>
      </c>
      <c r="R279" s="93">
        <v>-144950</v>
      </c>
      <c r="T279" s="207" t="s">
        <v>5024</v>
      </c>
      <c r="U279" s="207">
        <v>165</v>
      </c>
      <c r="V279" s="111">
        <v>393.5</v>
      </c>
      <c r="W279" s="111">
        <f t="shared" si="70"/>
        <v>64927.5</v>
      </c>
      <c r="X279" s="36" t="s">
        <v>452</v>
      </c>
      <c r="AI279" t="s">
        <v>4049</v>
      </c>
      <c r="AJ279" s="112">
        <f>AJ276-AJ275</f>
        <v>4776335237.9963369</v>
      </c>
      <c r="AN279" t="s">
        <v>25</v>
      </c>
    </row>
    <row r="280" spans="7:40" ht="30">
      <c r="G280" s="207" t="s">
        <v>5491</v>
      </c>
      <c r="H280" s="111">
        <v>-87000000</v>
      </c>
      <c r="O280" t="s">
        <v>25</v>
      </c>
      <c r="Q280" s="97" t="s">
        <v>5002</v>
      </c>
      <c r="R280" s="93">
        <v>320000</v>
      </c>
      <c r="T280" s="207" t="s">
        <v>5029</v>
      </c>
      <c r="U280" s="207">
        <v>-34859</v>
      </c>
      <c r="V280" s="111">
        <v>403.1585</v>
      </c>
      <c r="W280" s="111">
        <f t="shared" si="70"/>
        <v>-14053702.1515</v>
      </c>
      <c r="X280" s="36" t="s">
        <v>5032</v>
      </c>
      <c r="AM280" t="s">
        <v>25</v>
      </c>
    </row>
    <row r="281" spans="7:40">
      <c r="G281" s="207"/>
      <c r="H281" s="111"/>
      <c r="Q281" s="97" t="s">
        <v>5006</v>
      </c>
      <c r="R281" s="93">
        <v>500000</v>
      </c>
      <c r="S281" t="s">
        <v>25</v>
      </c>
      <c r="T281" s="207" t="s">
        <v>5000</v>
      </c>
      <c r="U281" s="207">
        <v>8476</v>
      </c>
      <c r="V281" s="111">
        <v>419.49900000000002</v>
      </c>
      <c r="W281" s="111">
        <f t="shared" si="70"/>
        <v>3555673.5240000002</v>
      </c>
      <c r="X281" s="36" t="s">
        <v>5038</v>
      </c>
      <c r="AJ281" t="s">
        <v>25</v>
      </c>
    </row>
    <row r="282" spans="7:40">
      <c r="G282" s="207"/>
      <c r="H282" s="1"/>
      <c r="Q282" s="97" t="s">
        <v>5050</v>
      </c>
      <c r="R282" s="93">
        <v>400000</v>
      </c>
      <c r="S282" t="s">
        <v>25</v>
      </c>
      <c r="T282" s="207" t="s">
        <v>5050</v>
      </c>
      <c r="U282" s="207">
        <v>903</v>
      </c>
      <c r="V282" s="111">
        <v>442.77379999999999</v>
      </c>
      <c r="W282" s="111">
        <f t="shared" si="70"/>
        <v>399824.7414</v>
      </c>
      <c r="X282" s="36" t="s">
        <v>744</v>
      </c>
    </row>
    <row r="283" spans="7:40">
      <c r="G283" s="207"/>
      <c r="H283" s="1"/>
      <c r="Q283" s="97" t="s">
        <v>5053</v>
      </c>
      <c r="R283" s="93">
        <v>50000</v>
      </c>
      <c r="S283" t="s">
        <v>25</v>
      </c>
      <c r="T283" s="207" t="s">
        <v>5053</v>
      </c>
      <c r="U283" s="207">
        <v>113</v>
      </c>
      <c r="V283" s="111">
        <v>442.48200000000003</v>
      </c>
      <c r="W283" s="111">
        <f t="shared" ref="W283:W364" si="79">U283*V283</f>
        <v>50000.466</v>
      </c>
      <c r="X283" s="36" t="s">
        <v>744</v>
      </c>
    </row>
    <row r="284" spans="7:40">
      <c r="G284" s="207"/>
      <c r="H284" s="1"/>
      <c r="Q284" s="97" t="s">
        <v>5063</v>
      </c>
      <c r="R284" s="93">
        <v>300000</v>
      </c>
      <c r="T284" s="207" t="s">
        <v>5063</v>
      </c>
      <c r="U284" s="207">
        <v>671</v>
      </c>
      <c r="V284" s="111">
        <v>447</v>
      </c>
      <c r="W284" s="111">
        <f t="shared" si="79"/>
        <v>299937</v>
      </c>
      <c r="X284" s="36" t="s">
        <v>744</v>
      </c>
    </row>
    <row r="285" spans="7:40">
      <c r="G285" s="207" t="s">
        <v>6</v>
      </c>
      <c r="H285" s="1">
        <f>SUM(H161:H284)</f>
        <v>1470958600.4707646</v>
      </c>
      <c r="J285" t="s">
        <v>25</v>
      </c>
      <c r="Q285" s="97" t="s">
        <v>5084</v>
      </c>
      <c r="R285" s="93">
        <v>250000</v>
      </c>
      <c r="T285" s="207" t="s">
        <v>5065</v>
      </c>
      <c r="U285" s="207">
        <v>7</v>
      </c>
      <c r="V285" s="111">
        <v>465.31200000000001</v>
      </c>
      <c r="W285" s="111">
        <f t="shared" si="79"/>
        <v>3257.1840000000002</v>
      </c>
      <c r="X285" s="36" t="s">
        <v>452</v>
      </c>
    </row>
    <row r="286" spans="7:40">
      <c r="G286" s="285"/>
      <c r="H286" s="1"/>
      <c r="Q286" s="97" t="s">
        <v>5117</v>
      </c>
      <c r="R286" s="93">
        <v>200000</v>
      </c>
      <c r="T286" s="207" t="s">
        <v>5069</v>
      </c>
      <c r="U286" s="207">
        <v>12950</v>
      </c>
      <c r="V286" s="111">
        <v>463.31599999999997</v>
      </c>
      <c r="W286" s="111">
        <f t="shared" si="79"/>
        <v>5999942.1999999993</v>
      </c>
      <c r="X286" s="36" t="s">
        <v>452</v>
      </c>
      <c r="AH286" s="97" t="s">
        <v>3625</v>
      </c>
      <c r="AI286" s="97" t="s">
        <v>180</v>
      </c>
      <c r="AJ286" s="97" t="s">
        <v>267</v>
      </c>
      <c r="AK286" s="97" t="s">
        <v>4042</v>
      </c>
      <c r="AL286" s="97" t="s">
        <v>4034</v>
      </c>
      <c r="AM286" s="97" t="s">
        <v>282</v>
      </c>
      <c r="AN286" s="97" t="s">
        <v>4268</v>
      </c>
    </row>
    <row r="287" spans="7:40">
      <c r="Q287" s="97" t="s">
        <v>5149</v>
      </c>
      <c r="R287" s="93">
        <v>122000</v>
      </c>
      <c r="T287" s="207" t="s">
        <v>5071</v>
      </c>
      <c r="U287" s="207">
        <v>37</v>
      </c>
      <c r="V287" s="111">
        <v>463.315</v>
      </c>
      <c r="W287" s="111">
        <f t="shared" si="79"/>
        <v>17142.654999999999</v>
      </c>
      <c r="X287" s="36" t="s">
        <v>452</v>
      </c>
      <c r="AH287" s="97">
        <v>1</v>
      </c>
      <c r="AI287" s="97" t="s">
        <v>3933</v>
      </c>
      <c r="AJ287" s="115">
        <v>3555820</v>
      </c>
      <c r="AK287" s="97">
        <v>2</v>
      </c>
      <c r="AL287" s="97">
        <f>AK287+AL288</f>
        <v>991</v>
      </c>
      <c r="AM287" s="97">
        <f>AJ287*AL287</f>
        <v>3523817620</v>
      </c>
      <c r="AN287" s="97" t="s">
        <v>4286</v>
      </c>
    </row>
    <row r="288" spans="7:40">
      <c r="J288" t="s">
        <v>25</v>
      </c>
      <c r="O288" t="s">
        <v>25</v>
      </c>
      <c r="Q288" s="97" t="s">
        <v>5157</v>
      </c>
      <c r="R288" s="93">
        <v>200000</v>
      </c>
      <c r="S288" t="s">
        <v>25</v>
      </c>
      <c r="T288" s="207" t="s">
        <v>5072</v>
      </c>
      <c r="U288" s="207">
        <v>19</v>
      </c>
      <c r="V288" s="111">
        <v>434.3</v>
      </c>
      <c r="W288" s="111">
        <f t="shared" si="79"/>
        <v>8251.7000000000007</v>
      </c>
      <c r="X288" s="36" t="s">
        <v>452</v>
      </c>
      <c r="Y288" t="s">
        <v>25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94"/>
      <c r="H289" s="9" t="s">
        <v>452</v>
      </c>
      <c r="Q289" s="97" t="s">
        <v>5167</v>
      </c>
      <c r="R289" s="93">
        <v>60000</v>
      </c>
      <c r="T289" s="207" t="s">
        <v>5074</v>
      </c>
      <c r="U289" s="207">
        <v>16</v>
      </c>
      <c r="V289" s="111">
        <v>439</v>
      </c>
      <c r="W289" s="111">
        <f t="shared" si="79"/>
        <v>7024</v>
      </c>
      <c r="X289" s="36" t="s">
        <v>452</v>
      </c>
      <c r="Y289" t="s">
        <v>25</v>
      </c>
      <c r="AH289" s="97">
        <v>3</v>
      </c>
      <c r="AI289" s="97" t="s">
        <v>4112</v>
      </c>
      <c r="AJ289" s="115">
        <v>150000</v>
      </c>
      <c r="AK289" s="97">
        <v>3</v>
      </c>
      <c r="AL289" s="97">
        <f t="shared" si="80"/>
        <v>938</v>
      </c>
      <c r="AM289" s="97">
        <f t="shared" si="81"/>
        <v>140700000</v>
      </c>
      <c r="AN289" s="97"/>
    </row>
    <row r="290" spans="7:44" ht="45">
      <c r="G290" s="94"/>
      <c r="H290" s="9" t="s">
        <v>744</v>
      </c>
      <c r="Q290" s="97" t="s">
        <v>5226</v>
      </c>
      <c r="R290" s="93">
        <v>-200000</v>
      </c>
      <c r="S290" t="s">
        <v>25</v>
      </c>
      <c r="T290" s="207" t="s">
        <v>5074</v>
      </c>
      <c r="U290" s="207">
        <v>9191</v>
      </c>
      <c r="V290" s="111">
        <v>440.24630000000002</v>
      </c>
      <c r="W290" s="111">
        <f t="shared" si="79"/>
        <v>4046303.7433000002</v>
      </c>
      <c r="X290" s="36" t="s">
        <v>5075</v>
      </c>
      <c r="AH290" s="97">
        <v>4</v>
      </c>
      <c r="AI290" s="97" t="s">
        <v>4127</v>
      </c>
      <c r="AJ290" s="115">
        <v>-95000</v>
      </c>
      <c r="AK290" s="97">
        <v>8</v>
      </c>
      <c r="AL290" s="97">
        <f t="shared" si="80"/>
        <v>935</v>
      </c>
      <c r="AM290" s="97">
        <f t="shared" si="81"/>
        <v>-88825000</v>
      </c>
      <c r="AN290" s="97"/>
    </row>
    <row r="291" spans="7:44">
      <c r="G291" s="94"/>
      <c r="H291" s="9" t="s">
        <v>5425</v>
      </c>
      <c r="Q291" s="97" t="s">
        <v>5288</v>
      </c>
      <c r="R291" s="93">
        <v>-9000000</v>
      </c>
      <c r="T291" s="207" t="s">
        <v>5077</v>
      </c>
      <c r="U291" s="207">
        <v>-8792</v>
      </c>
      <c r="V291" s="111">
        <v>441.90665999999999</v>
      </c>
      <c r="W291" s="111">
        <f t="shared" si="79"/>
        <v>-3885243.3547199997</v>
      </c>
      <c r="X291" s="36" t="s">
        <v>5078</v>
      </c>
      <c r="AH291" s="97">
        <v>5</v>
      </c>
      <c r="AI291" s="97" t="s">
        <v>4152</v>
      </c>
      <c r="AJ291" s="115">
        <v>3150000</v>
      </c>
      <c r="AK291" s="97">
        <v>16</v>
      </c>
      <c r="AL291" s="97">
        <f t="shared" si="80"/>
        <v>927</v>
      </c>
      <c r="AM291" s="97">
        <f t="shared" si="81"/>
        <v>2920050000</v>
      </c>
      <c r="AN291" s="97"/>
    </row>
    <row r="292" spans="7:44">
      <c r="G292" s="94"/>
      <c r="H292" s="9" t="s">
        <v>1071</v>
      </c>
      <c r="Q292" s="97" t="s">
        <v>5347</v>
      </c>
      <c r="R292" s="93">
        <v>-26000000</v>
      </c>
      <c r="T292" s="207" t="s">
        <v>5084</v>
      </c>
      <c r="U292" s="207">
        <v>530</v>
      </c>
      <c r="V292" s="111">
        <v>472</v>
      </c>
      <c r="W292" s="111">
        <f t="shared" si="79"/>
        <v>250160</v>
      </c>
      <c r="X292" s="36" t="s">
        <v>744</v>
      </c>
      <c r="AH292" s="97">
        <v>6</v>
      </c>
      <c r="AI292" s="97" t="s">
        <v>4217</v>
      </c>
      <c r="AJ292" s="115">
        <v>-65000</v>
      </c>
      <c r="AK292" s="97">
        <v>1</v>
      </c>
      <c r="AL292" s="97">
        <f t="shared" si="80"/>
        <v>911</v>
      </c>
      <c r="AM292" s="97">
        <f t="shared" si="81"/>
        <v>-59215000</v>
      </c>
      <c r="AN292" s="97"/>
    </row>
    <row r="293" spans="7:44" ht="30">
      <c r="H293" s="9" t="s">
        <v>5362</v>
      </c>
      <c r="Q293" s="97" t="s">
        <v>5351</v>
      </c>
      <c r="R293" s="93">
        <v>-95900000</v>
      </c>
      <c r="T293" s="207" t="s">
        <v>5084</v>
      </c>
      <c r="U293" s="207">
        <v>12</v>
      </c>
      <c r="V293" s="111">
        <v>481.86</v>
      </c>
      <c r="W293" s="111">
        <f t="shared" si="79"/>
        <v>5782.32</v>
      </c>
      <c r="X293" s="36" t="s">
        <v>5086</v>
      </c>
      <c r="AH293" s="97">
        <v>7</v>
      </c>
      <c r="AI293" s="97" t="s">
        <v>4288</v>
      </c>
      <c r="AJ293" s="115">
        <v>-95000</v>
      </c>
      <c r="AK293" s="97">
        <v>6</v>
      </c>
      <c r="AL293" s="97">
        <f t="shared" si="80"/>
        <v>910</v>
      </c>
      <c r="AM293" s="97">
        <f t="shared" si="81"/>
        <v>-86450000</v>
      </c>
      <c r="AN293" s="97"/>
    </row>
    <row r="294" spans="7:44">
      <c r="H294" s="9" t="s">
        <v>5525</v>
      </c>
      <c r="Q294" s="97" t="s">
        <v>5352</v>
      </c>
      <c r="R294" s="93">
        <v>-28950000</v>
      </c>
      <c r="S294" t="s">
        <v>25</v>
      </c>
      <c r="T294" s="207" t="s">
        <v>5110</v>
      </c>
      <c r="U294" s="207">
        <v>846</v>
      </c>
      <c r="V294" s="111">
        <v>472.7</v>
      </c>
      <c r="W294" s="111">
        <f t="shared" si="79"/>
        <v>399904.2</v>
      </c>
      <c r="X294" s="36" t="s">
        <v>452</v>
      </c>
      <c r="AH294" s="97">
        <v>8</v>
      </c>
      <c r="AI294" s="97" t="s">
        <v>4289</v>
      </c>
      <c r="AJ294" s="115">
        <v>232000</v>
      </c>
      <c r="AK294" s="97">
        <v>7</v>
      </c>
      <c r="AL294" s="97">
        <f t="shared" si="80"/>
        <v>904</v>
      </c>
      <c r="AM294" s="97">
        <f t="shared" si="81"/>
        <v>209728000</v>
      </c>
      <c r="AN294" s="97"/>
    </row>
    <row r="295" spans="7:44">
      <c r="H295" s="286" t="s">
        <v>5526</v>
      </c>
      <c r="Q295" s="97" t="s">
        <v>5495</v>
      </c>
      <c r="R295" s="93">
        <v>-93000000</v>
      </c>
      <c r="S295" t="s">
        <v>25</v>
      </c>
      <c r="T295" s="207" t="s">
        <v>5113</v>
      </c>
      <c r="U295" s="207">
        <v>191</v>
      </c>
      <c r="V295" s="111">
        <v>484.572</v>
      </c>
      <c r="W295" s="111">
        <f t="shared" si="79"/>
        <v>92553.252000000008</v>
      </c>
      <c r="X295" s="36" t="s">
        <v>5114</v>
      </c>
      <c r="AH295" s="97">
        <v>9</v>
      </c>
      <c r="AI295" s="97" t="s">
        <v>4267</v>
      </c>
      <c r="AJ295" s="115">
        <v>13000000</v>
      </c>
      <c r="AK295" s="97">
        <v>2</v>
      </c>
      <c r="AL295" s="97">
        <f t="shared" si="80"/>
        <v>897</v>
      </c>
      <c r="AM295" s="97">
        <f t="shared" si="81"/>
        <v>11661000000</v>
      </c>
      <c r="AN295" s="97"/>
    </row>
    <row r="296" spans="7:44">
      <c r="H296" s="286" t="s">
        <v>744</v>
      </c>
      <c r="O296" t="s">
        <v>25</v>
      </c>
      <c r="Q296" s="97" t="s">
        <v>5504</v>
      </c>
      <c r="R296" s="93">
        <v>50000000</v>
      </c>
      <c r="T296" s="207" t="s">
        <v>5113</v>
      </c>
      <c r="U296" s="207">
        <v>-206</v>
      </c>
      <c r="V296" s="111">
        <v>484.572</v>
      </c>
      <c r="W296" s="111">
        <f t="shared" si="79"/>
        <v>-99821.831999999995</v>
      </c>
      <c r="X296" s="36" t="s">
        <v>5116</v>
      </c>
      <c r="AH296" s="97">
        <v>10</v>
      </c>
      <c r="AI296" s="97" t="s">
        <v>4290</v>
      </c>
      <c r="AJ296" s="115">
        <v>10000000</v>
      </c>
      <c r="AK296" s="97">
        <v>3</v>
      </c>
      <c r="AL296" s="97">
        <f t="shared" si="80"/>
        <v>895</v>
      </c>
      <c r="AM296" s="97">
        <f t="shared" si="81"/>
        <v>8950000000</v>
      </c>
      <c r="AN296" s="97"/>
    </row>
    <row r="297" spans="7:44">
      <c r="H297" s="9" t="s">
        <v>5527</v>
      </c>
      <c r="Q297" s="97" t="s">
        <v>4212</v>
      </c>
      <c r="R297" s="93">
        <v>2749471.1668000002</v>
      </c>
      <c r="T297" s="207" t="s">
        <v>5117</v>
      </c>
      <c r="U297" s="207">
        <v>20685</v>
      </c>
      <c r="V297" s="111">
        <v>483.43312200000003</v>
      </c>
      <c r="W297" s="111">
        <f t="shared" si="79"/>
        <v>9999814.1285699997</v>
      </c>
      <c r="X297" s="36" t="s">
        <v>5119</v>
      </c>
      <c r="AH297" s="97">
        <v>11</v>
      </c>
      <c r="AI297" s="97" t="s">
        <v>4279</v>
      </c>
      <c r="AJ297" s="115">
        <v>3400000</v>
      </c>
      <c r="AK297" s="97">
        <v>9</v>
      </c>
      <c r="AL297" s="97">
        <f t="shared" si="80"/>
        <v>892</v>
      </c>
      <c r="AM297" s="97">
        <f t="shared" si="81"/>
        <v>3032800000</v>
      </c>
      <c r="AN297" s="97"/>
    </row>
    <row r="298" spans="7:44">
      <c r="H298" s="9" t="s">
        <v>5528</v>
      </c>
      <c r="P298" t="s">
        <v>25</v>
      </c>
      <c r="Q298" s="97" t="s">
        <v>5595</v>
      </c>
      <c r="R298" s="93">
        <v>-680940.07019999996</v>
      </c>
      <c r="T298" s="207" t="s">
        <v>5117</v>
      </c>
      <c r="U298" s="207">
        <v>-413</v>
      </c>
      <c r="V298" s="111">
        <v>483.40199999999999</v>
      </c>
      <c r="W298" s="111">
        <f t="shared" si="79"/>
        <v>-199645.02599999998</v>
      </c>
      <c r="X298" s="36" t="s">
        <v>4409</v>
      </c>
      <c r="AH298" s="97">
        <v>12</v>
      </c>
      <c r="AI298" s="97" t="s">
        <v>4316</v>
      </c>
      <c r="AJ298" s="115">
        <v>-8736514</v>
      </c>
      <c r="AK298" s="97">
        <v>1</v>
      </c>
      <c r="AL298" s="97">
        <f>AK298+AL299</f>
        <v>883</v>
      </c>
      <c r="AM298" s="97">
        <f t="shared" si="81"/>
        <v>-7714341862</v>
      </c>
      <c r="AN298" s="97"/>
    </row>
    <row r="299" spans="7:44">
      <c r="H299" s="9" t="s">
        <v>5556</v>
      </c>
      <c r="Q299" s="97" t="s">
        <v>5595</v>
      </c>
      <c r="R299" s="93">
        <v>-48684800.338199995</v>
      </c>
      <c r="T299" s="207" t="s">
        <v>5117</v>
      </c>
      <c r="U299" s="207">
        <v>413</v>
      </c>
      <c r="V299" s="111">
        <v>483.40199999999999</v>
      </c>
      <c r="W299" s="111">
        <f t="shared" si="79"/>
        <v>199645.02599999998</v>
      </c>
      <c r="X299" s="36" t="s">
        <v>744</v>
      </c>
      <c r="AH299" s="97">
        <v>13</v>
      </c>
      <c r="AI299" s="97" t="s">
        <v>4317</v>
      </c>
      <c r="AJ299" s="115">
        <v>555000</v>
      </c>
      <c r="AK299" s="97">
        <v>5</v>
      </c>
      <c r="AL299" s="97">
        <f t="shared" ref="AL299:AL315" si="82">AK299+AL300</f>
        <v>882</v>
      </c>
      <c r="AM299" s="97">
        <f t="shared" si="81"/>
        <v>489510000</v>
      </c>
      <c r="AN299" s="97"/>
    </row>
    <row r="300" spans="7:44">
      <c r="H300" s="286"/>
      <c r="Q300" s="97" t="s">
        <v>5619</v>
      </c>
      <c r="R300" s="93">
        <v>1500000</v>
      </c>
      <c r="S300" t="s">
        <v>25</v>
      </c>
      <c r="T300" s="207" t="s">
        <v>5122</v>
      </c>
      <c r="U300" s="207">
        <v>-828</v>
      </c>
      <c r="V300" s="111">
        <v>483.43312200000003</v>
      </c>
      <c r="W300" s="111">
        <f t="shared" si="79"/>
        <v>-400282.62501600001</v>
      </c>
      <c r="X300" s="36" t="s">
        <v>452</v>
      </c>
      <c r="AH300" s="97">
        <v>14</v>
      </c>
      <c r="AI300" s="97" t="s">
        <v>4341</v>
      </c>
      <c r="AJ300" s="115">
        <v>-448308</v>
      </c>
      <c r="AK300" s="97">
        <v>6</v>
      </c>
      <c r="AL300" s="97">
        <f t="shared" si="82"/>
        <v>877</v>
      </c>
      <c r="AM300" s="97">
        <f t="shared" si="81"/>
        <v>-393166116</v>
      </c>
      <c r="AN300" s="97"/>
      <c r="AR300" t="s">
        <v>25</v>
      </c>
    </row>
    <row r="301" spans="7:44">
      <c r="Q301" s="97" t="s">
        <v>965</v>
      </c>
      <c r="R301" s="93">
        <v>11221062</v>
      </c>
      <c r="S301" t="s">
        <v>25</v>
      </c>
      <c r="T301" s="207" t="s">
        <v>5125</v>
      </c>
      <c r="U301" s="207">
        <v>12</v>
      </c>
      <c r="V301" s="111">
        <v>473.61898300000001</v>
      </c>
      <c r="W301" s="111">
        <f t="shared" si="79"/>
        <v>5683.4277959999999</v>
      </c>
      <c r="X301" s="36" t="s">
        <v>452</v>
      </c>
      <c r="AH301" s="97">
        <v>15</v>
      </c>
      <c r="AI301" s="97" t="s">
        <v>4368</v>
      </c>
      <c r="AJ301" s="115">
        <v>33225</v>
      </c>
      <c r="AK301" s="97">
        <v>0</v>
      </c>
      <c r="AL301" s="97">
        <f t="shared" si="82"/>
        <v>871</v>
      </c>
      <c r="AM301" s="97">
        <f t="shared" si="81"/>
        <v>28938975</v>
      </c>
      <c r="AN301" s="97"/>
    </row>
    <row r="302" spans="7:44">
      <c r="Q302" s="97" t="s">
        <v>5845</v>
      </c>
      <c r="R302" s="93">
        <v>20031495.928431001</v>
      </c>
      <c r="T302" s="207" t="s">
        <v>5128</v>
      </c>
      <c r="U302" s="207">
        <v>963</v>
      </c>
      <c r="V302" s="111">
        <v>477.92200000000003</v>
      </c>
      <c r="W302" s="111">
        <f t="shared" si="79"/>
        <v>460238.886</v>
      </c>
      <c r="X302" s="36" t="s">
        <v>452</v>
      </c>
      <c r="AH302" s="147">
        <v>16</v>
      </c>
      <c r="AI302" s="147" t="s">
        <v>4368</v>
      </c>
      <c r="AJ302" s="186">
        <v>4098523</v>
      </c>
      <c r="AK302" s="147">
        <v>2</v>
      </c>
      <c r="AL302" s="147">
        <f t="shared" si="82"/>
        <v>871</v>
      </c>
      <c r="AM302" s="147">
        <f t="shared" si="81"/>
        <v>3569813533</v>
      </c>
      <c r="AN302" s="147" t="s">
        <v>650</v>
      </c>
    </row>
    <row r="303" spans="7:44">
      <c r="O303" t="s">
        <v>25</v>
      </c>
      <c r="Q303" s="97" t="s">
        <v>5871</v>
      </c>
      <c r="R303" s="93">
        <v>-154353015.43906799</v>
      </c>
      <c r="S303" t="s">
        <v>25</v>
      </c>
      <c r="T303" s="207" t="s">
        <v>5129</v>
      </c>
      <c r="U303" s="207">
        <v>2815</v>
      </c>
      <c r="V303" s="111">
        <v>461.79</v>
      </c>
      <c r="W303" s="111">
        <f t="shared" si="79"/>
        <v>1299938.8500000001</v>
      </c>
      <c r="X303" s="36" t="s">
        <v>452</v>
      </c>
      <c r="AH303" s="147">
        <v>17</v>
      </c>
      <c r="AI303" s="147" t="s">
        <v>4379</v>
      </c>
      <c r="AJ303" s="186">
        <v>-1000000</v>
      </c>
      <c r="AK303" s="147">
        <v>7</v>
      </c>
      <c r="AL303" s="147">
        <f t="shared" si="82"/>
        <v>869</v>
      </c>
      <c r="AM303" s="147">
        <f t="shared" si="81"/>
        <v>-869000000</v>
      </c>
      <c r="AN303" s="147" t="s">
        <v>650</v>
      </c>
    </row>
    <row r="304" spans="7:44">
      <c r="Q304" s="97" t="s">
        <v>5893</v>
      </c>
      <c r="R304" s="93">
        <v>16643927.89773</v>
      </c>
      <c r="S304" t="s">
        <v>25</v>
      </c>
      <c r="T304" s="207" t="s">
        <v>5129</v>
      </c>
      <c r="U304" s="207">
        <v>1581</v>
      </c>
      <c r="V304" s="111">
        <v>461.79</v>
      </c>
      <c r="W304" s="111">
        <f t="shared" si="79"/>
        <v>730089.99</v>
      </c>
      <c r="X304" s="36" t="s">
        <v>452</v>
      </c>
      <c r="Y304" t="s">
        <v>25</v>
      </c>
      <c r="AH304" s="147">
        <v>18</v>
      </c>
      <c r="AI304" s="147" t="s">
        <v>4399</v>
      </c>
      <c r="AJ304" s="186">
        <v>750000</v>
      </c>
      <c r="AK304" s="147">
        <v>1</v>
      </c>
      <c r="AL304" s="147">
        <f t="shared" si="82"/>
        <v>862</v>
      </c>
      <c r="AM304" s="147">
        <f t="shared" si="81"/>
        <v>646500000</v>
      </c>
      <c r="AN304" s="147" t="s">
        <v>650</v>
      </c>
    </row>
    <row r="305" spans="16:40">
      <c r="Q305" s="97" t="s">
        <v>5894</v>
      </c>
      <c r="R305" s="93">
        <v>33355467.51292</v>
      </c>
      <c r="T305" s="207" t="s">
        <v>977</v>
      </c>
      <c r="U305" s="207">
        <v>41</v>
      </c>
      <c r="V305" s="111">
        <v>514.48099999999999</v>
      </c>
      <c r="W305" s="111">
        <f t="shared" si="79"/>
        <v>21093.721000000001</v>
      </c>
      <c r="X305" s="36" t="s">
        <v>5114</v>
      </c>
      <c r="AH305" s="192">
        <v>19</v>
      </c>
      <c r="AI305" s="192" t="s">
        <v>4400</v>
      </c>
      <c r="AJ305" s="193">
        <v>-604152</v>
      </c>
      <c r="AK305" s="192">
        <v>0</v>
      </c>
      <c r="AL305" s="192">
        <f t="shared" si="82"/>
        <v>861</v>
      </c>
      <c r="AM305" s="192">
        <f t="shared" si="81"/>
        <v>-520174872</v>
      </c>
      <c r="AN305" s="192" t="s">
        <v>650</v>
      </c>
    </row>
    <row r="306" spans="16:40">
      <c r="Q306" s="97" t="s">
        <v>6444</v>
      </c>
      <c r="R306" s="93">
        <v>30000000</v>
      </c>
      <c r="S306" t="s">
        <v>25</v>
      </c>
      <c r="T306" s="207" t="s">
        <v>4256</v>
      </c>
      <c r="U306" s="207">
        <v>71</v>
      </c>
      <c r="V306" s="111">
        <v>482.57</v>
      </c>
      <c r="W306" s="111">
        <f t="shared" si="79"/>
        <v>34262.47</v>
      </c>
      <c r="X306" s="36" t="s">
        <v>5114</v>
      </c>
      <c r="AH306" s="97">
        <v>20</v>
      </c>
      <c r="AI306" s="97" t="s">
        <v>4401</v>
      </c>
      <c r="AJ306" s="115">
        <v>-587083</v>
      </c>
      <c r="AK306" s="97">
        <v>4</v>
      </c>
      <c r="AL306" s="97">
        <f t="shared" si="82"/>
        <v>861</v>
      </c>
      <c r="AM306" s="97">
        <f t="shared" si="81"/>
        <v>-505478463</v>
      </c>
      <c r="AN306" s="97"/>
    </row>
    <row r="307" spans="16:40">
      <c r="Q307" s="97" t="s">
        <v>6470</v>
      </c>
      <c r="R307" s="93">
        <v>6000000</v>
      </c>
      <c r="T307" s="207" t="s">
        <v>5149</v>
      </c>
      <c r="U307" s="207">
        <v>-250</v>
      </c>
      <c r="V307" s="111">
        <v>487.125</v>
      </c>
      <c r="W307" s="111">
        <f t="shared" si="79"/>
        <v>-121781.25</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T308" s="207" t="s">
        <v>5149</v>
      </c>
      <c r="U308" s="207">
        <v>250</v>
      </c>
      <c r="V308" s="111">
        <v>487.125</v>
      </c>
      <c r="W308" s="111">
        <f t="shared" si="79"/>
        <v>121781.25</v>
      </c>
      <c r="X308" s="36" t="s">
        <v>744</v>
      </c>
      <c r="AH308" s="97">
        <v>22</v>
      </c>
      <c r="AI308" s="97" t="s">
        <v>4402</v>
      </c>
      <c r="AJ308" s="115">
        <v>-189619</v>
      </c>
      <c r="AK308" s="97">
        <v>15</v>
      </c>
      <c r="AL308" s="97">
        <f t="shared" si="82"/>
        <v>857</v>
      </c>
      <c r="AM308" s="97">
        <f t="shared" si="81"/>
        <v>-162503483</v>
      </c>
      <c r="AN308" s="97"/>
    </row>
    <row r="309" spans="16:40">
      <c r="P309" t="s">
        <v>25</v>
      </c>
      <c r="Q309" s="97"/>
      <c r="R309" s="93"/>
      <c r="T309" s="207" t="s">
        <v>5157</v>
      </c>
      <c r="U309" s="207">
        <v>-1439</v>
      </c>
      <c r="V309" s="111">
        <v>486.53068999999999</v>
      </c>
      <c r="W309" s="111">
        <f t="shared" si="79"/>
        <v>-700117.66290999996</v>
      </c>
      <c r="X309" s="36" t="s">
        <v>4409</v>
      </c>
      <c r="AH309" s="192">
        <v>23</v>
      </c>
      <c r="AI309" s="192" t="s">
        <v>4464</v>
      </c>
      <c r="AJ309" s="186">
        <v>7100</v>
      </c>
      <c r="AK309" s="192">
        <v>0</v>
      </c>
      <c r="AL309" s="147">
        <f t="shared" si="82"/>
        <v>842</v>
      </c>
      <c r="AM309" s="192">
        <f t="shared" si="81"/>
        <v>5978200</v>
      </c>
      <c r="AN309" s="192" t="s">
        <v>650</v>
      </c>
    </row>
    <row r="310" spans="16:40">
      <c r="Q310" s="97"/>
      <c r="R310" s="93"/>
      <c r="S310" t="s">
        <v>25</v>
      </c>
      <c r="T310" s="207" t="s">
        <v>5157</v>
      </c>
      <c r="U310" s="207">
        <v>411</v>
      </c>
      <c r="V310" s="111">
        <v>486.53068999999999</v>
      </c>
      <c r="W310" s="111">
        <f t="shared" si="79"/>
        <v>199964.11358999999</v>
      </c>
      <c r="X310" s="36" t="s">
        <v>744</v>
      </c>
      <c r="Y310" t="s">
        <v>25</v>
      </c>
      <c r="AH310" s="20">
        <v>24</v>
      </c>
      <c r="AI310" s="20" t="s">
        <v>4464</v>
      </c>
      <c r="AJ310" s="115">
        <v>-147902</v>
      </c>
      <c r="AK310" s="20">
        <v>3</v>
      </c>
      <c r="AL310" s="97">
        <f t="shared" si="82"/>
        <v>842</v>
      </c>
      <c r="AM310" s="20">
        <f t="shared" si="81"/>
        <v>-124533484</v>
      </c>
      <c r="AN310" s="20"/>
    </row>
    <row r="311" spans="16:40">
      <c r="Q311" s="97" t="s">
        <v>25</v>
      </c>
      <c r="R311" s="93"/>
      <c r="T311" s="207" t="s">
        <v>5127</v>
      </c>
      <c r="U311" s="207">
        <v>-4290</v>
      </c>
      <c r="V311" s="111">
        <v>497.57670000000002</v>
      </c>
      <c r="W311" s="111">
        <f t="shared" si="79"/>
        <v>-2134604.0430000001</v>
      </c>
      <c r="X311" s="36" t="s">
        <v>452</v>
      </c>
      <c r="AH311" s="147">
        <v>25</v>
      </c>
      <c r="AI311" s="147" t="s">
        <v>4472</v>
      </c>
      <c r="AJ311" s="186">
        <v>-37200</v>
      </c>
      <c r="AK311" s="147">
        <v>4</v>
      </c>
      <c r="AL311" s="147">
        <f t="shared" si="82"/>
        <v>839</v>
      </c>
      <c r="AM311" s="192">
        <f t="shared" si="81"/>
        <v>-31210800</v>
      </c>
      <c r="AN311" s="147" t="s">
        <v>650</v>
      </c>
    </row>
    <row r="312" spans="16:40">
      <c r="Q312" s="97"/>
      <c r="R312" s="93">
        <f>SUM(R251:R311)</f>
        <v>151716493.65841299</v>
      </c>
      <c r="T312" s="207" t="s">
        <v>5164</v>
      </c>
      <c r="U312" s="207">
        <v>-644</v>
      </c>
      <c r="V312" s="111">
        <v>494.76464499999997</v>
      </c>
      <c r="W312" s="111">
        <f t="shared" si="79"/>
        <v>-318628.43137999997</v>
      </c>
      <c r="X312" s="36" t="s">
        <v>452</v>
      </c>
      <c r="AH312" s="97">
        <v>26</v>
      </c>
      <c r="AI312" s="97" t="s">
        <v>4499</v>
      </c>
      <c r="AJ312" s="115">
        <v>-372326</v>
      </c>
      <c r="AK312" s="97">
        <v>21</v>
      </c>
      <c r="AL312" s="97">
        <f t="shared" si="82"/>
        <v>835</v>
      </c>
      <c r="AM312" s="20">
        <f t="shared" si="81"/>
        <v>-310892210</v>
      </c>
      <c r="AN312" s="97"/>
    </row>
    <row r="313" spans="16:40">
      <c r="R313" s="97" t="s">
        <v>6</v>
      </c>
      <c r="T313" s="207" t="s">
        <v>5167</v>
      </c>
      <c r="U313" s="207">
        <v>-112</v>
      </c>
      <c r="V313" s="111">
        <v>485.78</v>
      </c>
      <c r="W313" s="111">
        <f t="shared" si="79"/>
        <v>-54407.360000000001</v>
      </c>
      <c r="X313" s="36" t="s">
        <v>452</v>
      </c>
      <c r="AH313" s="97">
        <v>27</v>
      </c>
      <c r="AI313" s="97" t="s">
        <v>4546</v>
      </c>
      <c r="AJ313" s="115">
        <v>235062</v>
      </c>
      <c r="AK313" s="97">
        <v>0</v>
      </c>
      <c r="AL313" s="97">
        <f t="shared" si="82"/>
        <v>814</v>
      </c>
      <c r="AM313" s="20">
        <f t="shared" si="81"/>
        <v>191340468</v>
      </c>
      <c r="AN313" s="97"/>
    </row>
    <row r="314" spans="16:40">
      <c r="R314" t="s">
        <v>25</v>
      </c>
      <c r="T314" s="207" t="s">
        <v>5167</v>
      </c>
      <c r="U314" s="207">
        <v>123</v>
      </c>
      <c r="V314" s="111">
        <v>485.78</v>
      </c>
      <c r="W314" s="111">
        <f t="shared" si="79"/>
        <v>59750.939999999995</v>
      </c>
      <c r="X314" s="36" t="s">
        <v>744</v>
      </c>
      <c r="AH314" s="147">
        <v>28</v>
      </c>
      <c r="AI314" s="147" t="s">
        <v>4546</v>
      </c>
      <c r="AJ314" s="186">
        <v>235062</v>
      </c>
      <c r="AK314" s="147">
        <v>9</v>
      </c>
      <c r="AL314" s="97">
        <f t="shared" si="82"/>
        <v>814</v>
      </c>
      <c r="AM314" s="147">
        <f t="shared" si="81"/>
        <v>191340468</v>
      </c>
      <c r="AN314" s="147" t="s">
        <v>650</v>
      </c>
    </row>
    <row r="315" spans="16:40">
      <c r="Q315" s="97" t="s">
        <v>452</v>
      </c>
      <c r="T315" s="207" t="s">
        <v>5167</v>
      </c>
      <c r="U315" s="207">
        <v>-123</v>
      </c>
      <c r="V315" s="111">
        <v>485.78</v>
      </c>
      <c r="W315" s="111">
        <f t="shared" si="79"/>
        <v>-59750.939999999995</v>
      </c>
      <c r="X315" s="36" t="s">
        <v>4409</v>
      </c>
      <c r="AH315" s="147">
        <v>29</v>
      </c>
      <c r="AI315" s="147" t="s">
        <v>4564</v>
      </c>
      <c r="AJ315" s="186">
        <v>450000</v>
      </c>
      <c r="AK315" s="147">
        <v>0</v>
      </c>
      <c r="AL315" s="97">
        <f t="shared" si="82"/>
        <v>805</v>
      </c>
      <c r="AM315" s="147">
        <f t="shared" si="81"/>
        <v>362250000</v>
      </c>
      <c r="AN315" s="147" t="s">
        <v>650</v>
      </c>
    </row>
    <row r="316" spans="16:40">
      <c r="Q316" s="97" t="s">
        <v>4402</v>
      </c>
      <c r="R316" s="97"/>
      <c r="T316" s="207" t="s">
        <v>5210</v>
      </c>
      <c r="U316" s="207">
        <v>32367</v>
      </c>
      <c r="V316" s="111">
        <v>556.12900000000002</v>
      </c>
      <c r="W316" s="111">
        <f t="shared" si="79"/>
        <v>18000227.343000002</v>
      </c>
      <c r="X316" s="36" t="s">
        <v>452</v>
      </c>
      <c r="AH316" s="20">
        <v>30</v>
      </c>
      <c r="AI316" s="20" t="s">
        <v>4564</v>
      </c>
      <c r="AJ316" s="115">
        <v>450000</v>
      </c>
      <c r="AK316" s="20">
        <v>22</v>
      </c>
      <c r="AL316" s="97">
        <f>AK316+AL317</f>
        <v>805</v>
      </c>
      <c r="AM316" s="20">
        <f t="shared" si="81"/>
        <v>362250000</v>
      </c>
      <c r="AN316" s="20"/>
    </row>
    <row r="317" spans="16:40">
      <c r="Q317" s="97" t="s">
        <v>4448</v>
      </c>
      <c r="R317" s="93">
        <v>63115000</v>
      </c>
      <c r="T317" s="207" t="s">
        <v>5226</v>
      </c>
      <c r="U317" s="207">
        <v>1254</v>
      </c>
      <c r="V317" s="111">
        <v>558.24400000000003</v>
      </c>
      <c r="W317" s="111">
        <f t="shared" si="79"/>
        <v>700037.97600000002</v>
      </c>
      <c r="X317" s="36" t="s">
        <v>4409</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4456</v>
      </c>
      <c r="R318" s="93">
        <v>13300000</v>
      </c>
      <c r="T318" s="166" t="s">
        <v>5226</v>
      </c>
      <c r="U318" s="207">
        <v>-358</v>
      </c>
      <c r="V318" s="111">
        <v>558.24400000000003</v>
      </c>
      <c r="W318" s="111">
        <f t="shared" si="79"/>
        <v>-199851.35200000001</v>
      </c>
      <c r="X318" s="36" t="s">
        <v>744</v>
      </c>
      <c r="Z318" t="s">
        <v>25</v>
      </c>
      <c r="AH318" s="119">
        <v>32</v>
      </c>
      <c r="AI318" s="119" t="s">
        <v>4627</v>
      </c>
      <c r="AJ318" s="77">
        <v>288936</v>
      </c>
      <c r="AK318" s="119">
        <v>3</v>
      </c>
      <c r="AL318" s="119">
        <f t="shared" si="83"/>
        <v>783</v>
      </c>
      <c r="AM318" s="119">
        <f t="shared" si="84"/>
        <v>226236888</v>
      </c>
      <c r="AN318" s="201" t="s">
        <v>4638</v>
      </c>
    </row>
    <row r="319" spans="16:40">
      <c r="Q319" s="97" t="s">
        <v>4554</v>
      </c>
      <c r="R319" s="93">
        <v>2269000</v>
      </c>
      <c r="T319" s="187" t="s">
        <v>5245</v>
      </c>
      <c r="U319" s="187">
        <v>63259</v>
      </c>
      <c r="V319" s="186">
        <v>632.31960000000004</v>
      </c>
      <c r="W319" s="186">
        <f t="shared" si="79"/>
        <v>39999905.576400004</v>
      </c>
      <c r="X319" s="262" t="s">
        <v>1071</v>
      </c>
      <c r="AH319" s="119">
        <v>33</v>
      </c>
      <c r="AI319" s="119" t="s">
        <v>4636</v>
      </c>
      <c r="AJ319" s="77">
        <v>17962491</v>
      </c>
      <c r="AK319" s="119">
        <v>1</v>
      </c>
      <c r="AL319" s="119">
        <f t="shared" si="83"/>
        <v>780</v>
      </c>
      <c r="AM319" s="119">
        <f t="shared" si="84"/>
        <v>14010742980</v>
      </c>
      <c r="AN319" s="119" t="s">
        <v>4643</v>
      </c>
    </row>
    <row r="320" spans="16:40">
      <c r="Q320" s="97" t="s">
        <v>4563</v>
      </c>
      <c r="R320" s="93">
        <v>25071612</v>
      </c>
      <c r="T320" s="19" t="s">
        <v>5249</v>
      </c>
      <c r="U320" s="19">
        <v>-1278</v>
      </c>
      <c r="V320" s="115">
        <v>625.98</v>
      </c>
      <c r="W320" s="115">
        <f t="shared" si="79"/>
        <v>-800002.44000000006</v>
      </c>
      <c r="X320" s="263" t="s">
        <v>5250</v>
      </c>
      <c r="AH320" s="119">
        <v>34</v>
      </c>
      <c r="AI320" s="119" t="s">
        <v>3668</v>
      </c>
      <c r="AJ320" s="77">
        <v>18363511</v>
      </c>
      <c r="AK320" s="119">
        <v>1</v>
      </c>
      <c r="AL320" s="119">
        <f t="shared" si="83"/>
        <v>779</v>
      </c>
      <c r="AM320" s="119">
        <f t="shared" si="84"/>
        <v>14305175069</v>
      </c>
      <c r="AN320" s="119" t="s">
        <v>4643</v>
      </c>
    </row>
    <row r="321" spans="17:44">
      <c r="Q321" s="97" t="s">
        <v>4564</v>
      </c>
      <c r="R321" s="93">
        <v>42236984</v>
      </c>
      <c r="T321" s="19" t="s">
        <v>5254</v>
      </c>
      <c r="U321" s="19">
        <v>32049</v>
      </c>
      <c r="V321" s="115">
        <v>624.04600000000005</v>
      </c>
      <c r="W321" s="115">
        <f t="shared" si="79"/>
        <v>20000050.254000001</v>
      </c>
      <c r="X321" s="263" t="s">
        <v>5119</v>
      </c>
      <c r="Z321" t="s">
        <v>25</v>
      </c>
      <c r="AH321" s="119">
        <v>35</v>
      </c>
      <c r="AI321" s="119" t="s">
        <v>4648</v>
      </c>
      <c r="AJ321" s="77">
        <v>23622417</v>
      </c>
      <c r="AK321" s="119">
        <v>5</v>
      </c>
      <c r="AL321" s="119">
        <f t="shared" si="83"/>
        <v>778</v>
      </c>
      <c r="AM321" s="119">
        <f t="shared" si="84"/>
        <v>18378240426</v>
      </c>
      <c r="AN321" s="119" t="s">
        <v>4650</v>
      </c>
    </row>
    <row r="322" spans="17:44" ht="30">
      <c r="Q322" s="97" t="s">
        <v>4585</v>
      </c>
      <c r="R322" s="93">
        <v>19663646</v>
      </c>
      <c r="T322" s="19" t="s">
        <v>5261</v>
      </c>
      <c r="U322" s="19">
        <v>45094</v>
      </c>
      <c r="V322" s="115">
        <v>614.13559759999998</v>
      </c>
      <c r="W322" s="115">
        <f t="shared" si="79"/>
        <v>27693830.6381744</v>
      </c>
      <c r="X322" s="263" t="s">
        <v>5263</v>
      </c>
      <c r="Y322" t="s">
        <v>25</v>
      </c>
      <c r="AH322" s="119">
        <v>36</v>
      </c>
      <c r="AI322" s="119" t="s">
        <v>4662</v>
      </c>
      <c r="AJ322" s="77">
        <v>82496108</v>
      </c>
      <c r="AK322" s="119">
        <v>1</v>
      </c>
      <c r="AL322" s="119">
        <f t="shared" si="83"/>
        <v>773</v>
      </c>
      <c r="AM322" s="119">
        <f t="shared" si="84"/>
        <v>63769491484</v>
      </c>
      <c r="AN322" s="119" t="s">
        <v>4665</v>
      </c>
    </row>
    <row r="323" spans="17:44" ht="30">
      <c r="Q323" s="97" t="s">
        <v>4596</v>
      </c>
      <c r="R323" s="93">
        <v>4374525</v>
      </c>
      <c r="T323" s="19" t="s">
        <v>5288</v>
      </c>
      <c r="U323" s="19">
        <v>-11804</v>
      </c>
      <c r="V323" s="115">
        <v>762.46640000000002</v>
      </c>
      <c r="W323" s="115">
        <f t="shared" si="79"/>
        <v>-9000153.3856000006</v>
      </c>
      <c r="X323" s="263" t="s">
        <v>5290</v>
      </c>
      <c r="AH323" s="119">
        <v>37</v>
      </c>
      <c r="AI323" s="119" t="s">
        <v>4664</v>
      </c>
      <c r="AJ323" s="77">
        <v>74657561</v>
      </c>
      <c r="AK323" s="119">
        <v>16</v>
      </c>
      <c r="AL323" s="119">
        <f t="shared" si="83"/>
        <v>772</v>
      </c>
      <c r="AM323" s="119">
        <f t="shared" si="84"/>
        <v>57635637092</v>
      </c>
      <c r="AN323" s="119" t="s">
        <v>4670</v>
      </c>
    </row>
    <row r="324" spans="17:44">
      <c r="Q324" s="97" t="s">
        <v>4598</v>
      </c>
      <c r="R324" s="93">
        <v>6550580</v>
      </c>
      <c r="T324" s="19" t="s">
        <v>5332</v>
      </c>
      <c r="U324" s="19">
        <v>844</v>
      </c>
      <c r="V324" s="115">
        <v>830</v>
      </c>
      <c r="W324" s="115">
        <f t="shared" si="79"/>
        <v>700520</v>
      </c>
      <c r="X324" s="263" t="s">
        <v>4409</v>
      </c>
      <c r="Y324" t="s">
        <v>25</v>
      </c>
      <c r="AH324" s="97">
        <v>38</v>
      </c>
      <c r="AI324" s="97" t="s">
        <v>4735</v>
      </c>
      <c r="AJ324" s="115">
        <v>665000</v>
      </c>
      <c r="AK324" s="97">
        <v>0</v>
      </c>
      <c r="AL324" s="97">
        <f t="shared" si="83"/>
        <v>756</v>
      </c>
      <c r="AM324" s="20">
        <f t="shared" si="84"/>
        <v>502740000</v>
      </c>
      <c r="AN324" s="97"/>
    </row>
    <row r="325" spans="17:44">
      <c r="Q325" s="97" t="s">
        <v>4614</v>
      </c>
      <c r="R325" s="93">
        <v>7054895</v>
      </c>
      <c r="T325" s="19" t="s">
        <v>5336</v>
      </c>
      <c r="U325" s="19">
        <v>8662</v>
      </c>
      <c r="V325" s="115">
        <v>832.57011999999997</v>
      </c>
      <c r="W325" s="115">
        <f t="shared" si="79"/>
        <v>7211722.3794399993</v>
      </c>
      <c r="X325" s="263" t="s">
        <v>5114</v>
      </c>
      <c r="Z325" t="s">
        <v>25</v>
      </c>
      <c r="AA325" t="s">
        <v>25</v>
      </c>
      <c r="AH325" s="147">
        <v>39</v>
      </c>
      <c r="AI325" s="147" t="s">
        <v>4735</v>
      </c>
      <c r="AJ325" s="186">
        <v>665000</v>
      </c>
      <c r="AK325" s="147">
        <v>4</v>
      </c>
      <c r="AL325" s="192">
        <f t="shared" si="83"/>
        <v>756</v>
      </c>
      <c r="AM325" s="192">
        <f t="shared" si="84"/>
        <v>502740000</v>
      </c>
      <c r="AN325" s="192"/>
    </row>
    <row r="326" spans="17:44" ht="30">
      <c r="Q326" s="97" t="s">
        <v>4625</v>
      </c>
      <c r="R326" s="93">
        <v>2145814</v>
      </c>
      <c r="S326" s="112"/>
      <c r="T326" s="19" t="s">
        <v>5337</v>
      </c>
      <c r="U326" s="19">
        <v>10253</v>
      </c>
      <c r="V326" s="115">
        <v>827.2568</v>
      </c>
      <c r="W326" s="115">
        <f t="shared" si="79"/>
        <v>8481863.9704</v>
      </c>
      <c r="X326" s="263" t="s">
        <v>5340</v>
      </c>
      <c r="AH326" s="20">
        <v>40</v>
      </c>
      <c r="AI326" s="20" t="s">
        <v>4744</v>
      </c>
      <c r="AJ326" s="115">
        <v>2000000</v>
      </c>
      <c r="AK326" s="20">
        <v>1</v>
      </c>
      <c r="AL326" s="97">
        <f t="shared" si="83"/>
        <v>752</v>
      </c>
      <c r="AM326" s="20">
        <f t="shared" si="84"/>
        <v>1504000000</v>
      </c>
      <c r="AN326" s="97"/>
    </row>
    <row r="327" spans="17:44">
      <c r="Q327" s="97" t="s">
        <v>4627</v>
      </c>
      <c r="R327" s="93">
        <v>4369730</v>
      </c>
      <c r="T327" s="232" t="s">
        <v>5341</v>
      </c>
      <c r="U327" s="232">
        <v>-33077</v>
      </c>
      <c r="V327" s="233">
        <v>786.02973999999995</v>
      </c>
      <c r="W327" s="233">
        <f t="shared" si="79"/>
        <v>-25999505.70998</v>
      </c>
      <c r="X327" s="271" t="s">
        <v>5344</v>
      </c>
      <c r="AH327" s="20">
        <v>41</v>
      </c>
      <c r="AI327" s="20" t="s">
        <v>4749</v>
      </c>
      <c r="AJ327" s="115">
        <v>-2060725</v>
      </c>
      <c r="AK327" s="20">
        <v>0</v>
      </c>
      <c r="AL327" s="97">
        <f t="shared" si="83"/>
        <v>751</v>
      </c>
      <c r="AM327" s="20">
        <f t="shared" ref="AM327:AM332" si="85">AJ327*AL327</f>
        <v>-1547604475</v>
      </c>
      <c r="AN327" s="97" t="s">
        <v>4750</v>
      </c>
    </row>
    <row r="328" spans="17:44">
      <c r="Q328" s="97" t="s">
        <v>4636</v>
      </c>
      <c r="R328" s="93">
        <v>8739459</v>
      </c>
      <c r="T328" s="19" t="s">
        <v>5341</v>
      </c>
      <c r="U328" s="19">
        <v>-33077</v>
      </c>
      <c r="V328" s="115">
        <v>786.02973999999995</v>
      </c>
      <c r="W328" s="115">
        <f t="shared" si="79"/>
        <v>-25999505.70998</v>
      </c>
      <c r="X328" s="263" t="s">
        <v>5345</v>
      </c>
      <c r="Y328" t="s">
        <v>25</v>
      </c>
      <c r="AH328" s="147">
        <v>42</v>
      </c>
      <c r="AI328" s="147" t="s">
        <v>4749</v>
      </c>
      <c r="AJ328" s="186">
        <v>-433375</v>
      </c>
      <c r="AK328" s="147">
        <v>0</v>
      </c>
      <c r="AL328" s="147">
        <f t="shared" si="83"/>
        <v>751</v>
      </c>
      <c r="AM328" s="147">
        <f t="shared" si="85"/>
        <v>-325464625</v>
      </c>
      <c r="AN328" s="147" t="s">
        <v>4751</v>
      </c>
    </row>
    <row r="329" spans="17:44">
      <c r="Q329" s="97" t="s">
        <v>3668</v>
      </c>
      <c r="R329" s="93">
        <v>6667654</v>
      </c>
      <c r="T329" s="19" t="s">
        <v>5341</v>
      </c>
      <c r="U329" s="19">
        <v>1983</v>
      </c>
      <c r="V329" s="115">
        <v>786.02973999999995</v>
      </c>
      <c r="W329" s="115">
        <f t="shared" si="79"/>
        <v>1558696.9744199999</v>
      </c>
      <c r="X329" s="263" t="s">
        <v>5114</v>
      </c>
      <c r="AH329" s="20">
        <v>43</v>
      </c>
      <c r="AI329" s="20" t="s">
        <v>4749</v>
      </c>
      <c r="AJ329" s="115">
        <v>28000000</v>
      </c>
      <c r="AK329" s="20">
        <v>1</v>
      </c>
      <c r="AL329" s="97">
        <f t="shared" si="83"/>
        <v>751</v>
      </c>
      <c r="AM329" s="20">
        <f t="shared" si="85"/>
        <v>21028000000</v>
      </c>
      <c r="AN329" s="97" t="s">
        <v>3875</v>
      </c>
    </row>
    <row r="330" spans="17:44">
      <c r="Q330" s="97" t="s">
        <v>4648</v>
      </c>
      <c r="R330" s="93">
        <v>8981245</v>
      </c>
      <c r="T330" s="232" t="s">
        <v>5346</v>
      </c>
      <c r="U330" s="232">
        <v>-119753</v>
      </c>
      <c r="V330" s="233">
        <v>800.81560000000002</v>
      </c>
      <c r="W330" s="233">
        <f t="shared" si="79"/>
        <v>-95900070.546800002</v>
      </c>
      <c r="X330" s="271" t="s">
        <v>5344</v>
      </c>
      <c r="AH330" s="20">
        <v>44</v>
      </c>
      <c r="AI330" s="20" t="s">
        <v>4758</v>
      </c>
      <c r="AJ330" s="115">
        <v>160000</v>
      </c>
      <c r="AK330" s="20">
        <v>0</v>
      </c>
      <c r="AL330" s="97">
        <f t="shared" si="83"/>
        <v>750</v>
      </c>
      <c r="AM330" s="20">
        <f t="shared" si="85"/>
        <v>120000000</v>
      </c>
      <c r="AN330" s="97"/>
    </row>
    <row r="331" spans="17:44">
      <c r="Q331" s="97" t="s">
        <v>4651</v>
      </c>
      <c r="R331" s="93">
        <v>9181756</v>
      </c>
      <c r="T331" s="19" t="s">
        <v>5346</v>
      </c>
      <c r="U331" s="19">
        <v>-119753</v>
      </c>
      <c r="V331" s="115">
        <v>800.81560000000002</v>
      </c>
      <c r="W331" s="115">
        <f t="shared" si="79"/>
        <v>-95900070.546800002</v>
      </c>
      <c r="X331" s="263" t="s">
        <v>5345</v>
      </c>
      <c r="AA331" t="s">
        <v>25</v>
      </c>
      <c r="AH331" s="147">
        <v>45</v>
      </c>
      <c r="AI331" s="147" t="s">
        <v>4758</v>
      </c>
      <c r="AJ331" s="186">
        <v>70000</v>
      </c>
      <c r="AK331" s="147">
        <v>9</v>
      </c>
      <c r="AL331" s="147">
        <f t="shared" si="83"/>
        <v>750</v>
      </c>
      <c r="AM331" s="147">
        <f t="shared" si="85"/>
        <v>52500000</v>
      </c>
      <c r="AN331" s="147"/>
    </row>
    <row r="332" spans="17:44">
      <c r="Q332" s="97" t="s">
        <v>4664</v>
      </c>
      <c r="R332" s="93">
        <v>11811208</v>
      </c>
      <c r="T332" s="19" t="s">
        <v>5346</v>
      </c>
      <c r="U332" s="19">
        <v>11291</v>
      </c>
      <c r="V332" s="115">
        <v>800.81560000000002</v>
      </c>
      <c r="W332" s="115">
        <f t="shared" si="79"/>
        <v>9042008.9396000002</v>
      </c>
      <c r="X332" s="263" t="s">
        <v>452</v>
      </c>
      <c r="AH332" s="20">
        <v>46</v>
      </c>
      <c r="AI332" s="20" t="s">
        <v>4765</v>
      </c>
      <c r="AJ332" s="115">
        <v>850000</v>
      </c>
      <c r="AK332" s="20">
        <v>0</v>
      </c>
      <c r="AL332" s="97">
        <f t="shared" si="83"/>
        <v>741</v>
      </c>
      <c r="AM332" s="20">
        <f t="shared" si="85"/>
        <v>629850000</v>
      </c>
      <c r="AN332" s="97"/>
      <c r="AR332" t="s">
        <v>25</v>
      </c>
    </row>
    <row r="333" spans="17:44">
      <c r="Q333" s="97" t="s">
        <v>4671</v>
      </c>
      <c r="R333" s="93">
        <v>41248054</v>
      </c>
      <c r="T333" s="187" t="s">
        <v>5347</v>
      </c>
      <c r="U333" s="187">
        <v>-35361</v>
      </c>
      <c r="V333" s="186">
        <v>818.697</v>
      </c>
      <c r="W333" s="186">
        <f t="shared" si="79"/>
        <v>-28949944.616999999</v>
      </c>
      <c r="X333" s="262" t="s">
        <v>5344</v>
      </c>
      <c r="Y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4677</v>
      </c>
      <c r="R334" s="93">
        <v>37328780</v>
      </c>
      <c r="T334" s="19" t="s">
        <v>5347</v>
      </c>
      <c r="U334" s="19">
        <v>-35361</v>
      </c>
      <c r="V334" s="115">
        <v>818.697</v>
      </c>
      <c r="W334" s="115">
        <f t="shared" si="79"/>
        <v>-28949944.616999999</v>
      </c>
      <c r="X334" s="263" t="s">
        <v>5345</v>
      </c>
      <c r="Y334" t="s">
        <v>25</v>
      </c>
      <c r="Z334" t="s">
        <v>25</v>
      </c>
      <c r="AH334" s="192">
        <v>48</v>
      </c>
      <c r="AI334" s="192" t="s">
        <v>4778</v>
      </c>
      <c r="AJ334" s="193">
        <v>30000000</v>
      </c>
      <c r="AK334" s="192">
        <v>27</v>
      </c>
      <c r="AL334" s="192">
        <f t="shared" si="86"/>
        <v>737</v>
      </c>
      <c r="AM334" s="192">
        <f t="shared" si="87"/>
        <v>22110000000</v>
      </c>
      <c r="AN334" s="192" t="s">
        <v>4779</v>
      </c>
    </row>
    <row r="335" spans="17:44">
      <c r="Q335" s="97" t="s">
        <v>4735</v>
      </c>
      <c r="R335" s="93">
        <v>50000000</v>
      </c>
      <c r="T335" s="19" t="s">
        <v>5347</v>
      </c>
      <c r="U335" s="19">
        <v>116</v>
      </c>
      <c r="V335" s="115">
        <v>818.697</v>
      </c>
      <c r="W335" s="115">
        <f t="shared" si="79"/>
        <v>94968.851999999999</v>
      </c>
      <c r="X335" s="263" t="s">
        <v>5114</v>
      </c>
      <c r="AA335" t="s">
        <v>25</v>
      </c>
      <c r="AH335" s="20">
        <v>49</v>
      </c>
      <c r="AI335" s="20" t="s">
        <v>4851</v>
      </c>
      <c r="AJ335" s="115">
        <v>1100000</v>
      </c>
      <c r="AK335" s="20">
        <v>1</v>
      </c>
      <c r="AL335" s="20">
        <f t="shared" si="86"/>
        <v>710</v>
      </c>
      <c r="AM335" s="20">
        <f t="shared" si="87"/>
        <v>781000000</v>
      </c>
      <c r="AN335" s="20"/>
    </row>
    <row r="336" spans="17:44">
      <c r="Q336" s="97" t="s">
        <v>4744</v>
      </c>
      <c r="R336" s="93">
        <v>68656</v>
      </c>
      <c r="T336" s="19" t="s">
        <v>5351</v>
      </c>
      <c r="U336" s="19">
        <v>48633</v>
      </c>
      <c r="V336" s="115">
        <v>822.47199999999998</v>
      </c>
      <c r="W336" s="115">
        <f t="shared" si="79"/>
        <v>39999280.776000001</v>
      </c>
      <c r="X336" s="263" t="s">
        <v>5354</v>
      </c>
      <c r="AH336" s="20">
        <v>50</v>
      </c>
      <c r="AI336" s="20" t="s">
        <v>4852</v>
      </c>
      <c r="AJ336" s="115">
        <v>450000</v>
      </c>
      <c r="AK336" s="20">
        <v>0</v>
      </c>
      <c r="AL336" s="20">
        <f t="shared" si="86"/>
        <v>709</v>
      </c>
      <c r="AM336" s="20">
        <f t="shared" si="87"/>
        <v>319050000</v>
      </c>
      <c r="AN336" s="20"/>
      <c r="AR336" t="s">
        <v>25</v>
      </c>
    </row>
    <row r="337" spans="17:46">
      <c r="Q337" s="97" t="s">
        <v>4744</v>
      </c>
      <c r="R337" s="93">
        <v>4000236</v>
      </c>
      <c r="T337" s="19" t="s">
        <v>5351</v>
      </c>
      <c r="U337" s="19">
        <v>3412</v>
      </c>
      <c r="V337" s="115">
        <v>822.47199999999998</v>
      </c>
      <c r="W337" s="115">
        <f t="shared" si="79"/>
        <v>2806274.4640000002</v>
      </c>
      <c r="X337" s="263" t="s">
        <v>5356</v>
      </c>
      <c r="AH337" s="147">
        <v>51</v>
      </c>
      <c r="AI337" s="147" t="s">
        <v>4852</v>
      </c>
      <c r="AJ337" s="186">
        <v>550000</v>
      </c>
      <c r="AK337" s="147">
        <v>1</v>
      </c>
      <c r="AL337" s="147">
        <f t="shared" si="86"/>
        <v>709</v>
      </c>
      <c r="AM337" s="147">
        <f t="shared" si="87"/>
        <v>389950000</v>
      </c>
      <c r="AN337" s="147"/>
      <c r="AS337" t="s">
        <v>25</v>
      </c>
    </row>
    <row r="338" spans="17:46">
      <c r="Q338" s="97" t="s">
        <v>4749</v>
      </c>
      <c r="R338" s="93">
        <v>2250000</v>
      </c>
      <c r="T338" s="19" t="s">
        <v>5352</v>
      </c>
      <c r="U338" s="19">
        <v>1531</v>
      </c>
      <c r="V338" s="115">
        <v>869.82500000000005</v>
      </c>
      <c r="W338" s="115">
        <f t="shared" si="79"/>
        <v>1331702.075</v>
      </c>
      <c r="X338" s="263" t="s">
        <v>5357</v>
      </c>
      <c r="AH338" s="147">
        <v>52</v>
      </c>
      <c r="AI338" s="147" t="s">
        <v>4854</v>
      </c>
      <c r="AJ338" s="186">
        <v>1000000</v>
      </c>
      <c r="AK338" s="147">
        <v>8</v>
      </c>
      <c r="AL338" s="147">
        <f t="shared" si="86"/>
        <v>708</v>
      </c>
      <c r="AM338" s="147">
        <f t="shared" si="87"/>
        <v>708000000</v>
      </c>
      <c r="AN338" s="147"/>
      <c r="AR338" t="s">
        <v>25</v>
      </c>
      <c r="AT338" s="94" t="s">
        <v>25</v>
      </c>
    </row>
    <row r="339" spans="17:46">
      <c r="Q339" s="97" t="s">
        <v>4758</v>
      </c>
      <c r="R339" s="93">
        <v>-2512200</v>
      </c>
      <c r="T339" s="19" t="s">
        <v>5360</v>
      </c>
      <c r="U339" s="19">
        <v>1019</v>
      </c>
      <c r="V339" s="115">
        <v>835.36580000000004</v>
      </c>
      <c r="W339" s="115">
        <f t="shared" si="79"/>
        <v>851237.75020000001</v>
      </c>
      <c r="X339" s="263" t="s">
        <v>452</v>
      </c>
      <c r="AH339" s="20">
        <v>53</v>
      </c>
      <c r="AI339" s="20" t="s">
        <v>4863</v>
      </c>
      <c r="AJ339" s="115">
        <v>-2668880</v>
      </c>
      <c r="AK339" s="20">
        <v>0</v>
      </c>
      <c r="AL339" s="20">
        <f t="shared" si="86"/>
        <v>700</v>
      </c>
      <c r="AM339" s="20">
        <f t="shared" si="87"/>
        <v>-1868216000</v>
      </c>
      <c r="AN339" s="20" t="s">
        <v>4865</v>
      </c>
      <c r="AS339" t="s">
        <v>25</v>
      </c>
    </row>
    <row r="340" spans="17:46">
      <c r="Q340" s="97" t="s">
        <v>966</v>
      </c>
      <c r="R340" s="93">
        <v>300000</v>
      </c>
      <c r="T340" s="187" t="s">
        <v>5366</v>
      </c>
      <c r="U340" s="187">
        <v>2316</v>
      </c>
      <c r="V340" s="186">
        <v>818.697</v>
      </c>
      <c r="W340" s="186">
        <f t="shared" si="79"/>
        <v>1896102.2520000001</v>
      </c>
      <c r="X340" s="262" t="s">
        <v>5369</v>
      </c>
      <c r="AH340" s="147">
        <v>54</v>
      </c>
      <c r="AI340" s="147" t="s">
        <v>4863</v>
      </c>
      <c r="AJ340" s="186">
        <v>-1528620</v>
      </c>
      <c r="AK340" s="147">
        <v>0</v>
      </c>
      <c r="AL340" s="147">
        <f t="shared" si="86"/>
        <v>700</v>
      </c>
      <c r="AM340" s="147">
        <f t="shared" si="87"/>
        <v>-1070034000</v>
      </c>
      <c r="AN340" s="147" t="s">
        <v>4865</v>
      </c>
    </row>
    <row r="341" spans="17:46">
      <c r="Q341" s="97" t="s">
        <v>4765</v>
      </c>
      <c r="R341" s="93">
        <v>1100000</v>
      </c>
      <c r="T341" s="19" t="s">
        <v>5372</v>
      </c>
      <c r="U341" s="19">
        <v>315</v>
      </c>
      <c r="V341" s="115">
        <v>680</v>
      </c>
      <c r="W341" s="115">
        <f t="shared" si="79"/>
        <v>214200</v>
      </c>
      <c r="X341" s="263" t="s">
        <v>5114</v>
      </c>
      <c r="AH341" s="20">
        <v>55</v>
      </c>
      <c r="AI341" s="20" t="s">
        <v>4863</v>
      </c>
      <c r="AJ341" s="115">
        <v>50000000</v>
      </c>
      <c r="AK341" s="20">
        <v>4</v>
      </c>
      <c r="AL341" s="20">
        <f t="shared" si="86"/>
        <v>700</v>
      </c>
      <c r="AM341" s="20">
        <f t="shared" si="87"/>
        <v>35000000000</v>
      </c>
      <c r="AN341" s="20"/>
    </row>
    <row r="342" spans="17:46">
      <c r="Q342" s="97" t="s">
        <v>4785</v>
      </c>
      <c r="R342" s="93">
        <v>890000</v>
      </c>
      <c r="T342" s="19" t="s">
        <v>5394</v>
      </c>
      <c r="U342" s="19">
        <v>832</v>
      </c>
      <c r="V342" s="115">
        <v>784.36500000000001</v>
      </c>
      <c r="W342" s="115">
        <f t="shared" si="79"/>
        <v>652591.68000000005</v>
      </c>
      <c r="X342" s="263" t="s">
        <v>5114</v>
      </c>
      <c r="Y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4786</v>
      </c>
      <c r="R343" s="93">
        <v>1000000</v>
      </c>
      <c r="T343" s="19" t="s">
        <v>5438</v>
      </c>
      <c r="U343" s="19">
        <v>382</v>
      </c>
      <c r="V343" s="115">
        <v>1450.6065000000001</v>
      </c>
      <c r="W343" s="115">
        <f t="shared" si="79"/>
        <v>554131.68300000008</v>
      </c>
      <c r="X343" s="263" t="s">
        <v>5114</v>
      </c>
      <c r="Y343" t="s">
        <v>25</v>
      </c>
      <c r="AH343" s="20">
        <v>57</v>
      </c>
      <c r="AI343" s="20" t="s">
        <v>4878</v>
      </c>
      <c r="AJ343" s="115">
        <v>2000000</v>
      </c>
      <c r="AK343" s="20">
        <v>3</v>
      </c>
      <c r="AL343" s="20">
        <f t="shared" si="88"/>
        <v>692</v>
      </c>
      <c r="AM343" s="20">
        <f t="shared" si="89"/>
        <v>1384000000</v>
      </c>
      <c r="AN343" s="20"/>
    </row>
    <row r="344" spans="17:46">
      <c r="Q344" s="97" t="s">
        <v>4786</v>
      </c>
      <c r="R344" s="93">
        <v>45436311</v>
      </c>
      <c r="T344" s="19" t="s">
        <v>5439</v>
      </c>
      <c r="U344" s="19">
        <v>50047</v>
      </c>
      <c r="V344" s="115">
        <v>1406.14</v>
      </c>
      <c r="W344" s="115">
        <f t="shared" si="79"/>
        <v>70373088.579999998</v>
      </c>
      <c r="X344" s="263" t="s">
        <v>5114</v>
      </c>
      <c r="Z344" t="s">
        <v>25</v>
      </c>
      <c r="AH344" s="20">
        <v>58</v>
      </c>
      <c r="AI344" s="20" t="s">
        <v>4881</v>
      </c>
      <c r="AJ344" s="115">
        <v>100000</v>
      </c>
      <c r="AK344" s="20">
        <v>4</v>
      </c>
      <c r="AL344" s="20">
        <f t="shared" si="88"/>
        <v>689</v>
      </c>
      <c r="AM344" s="20">
        <f t="shared" si="89"/>
        <v>68900000</v>
      </c>
      <c r="AN344" s="20" t="s">
        <v>3875</v>
      </c>
    </row>
    <row r="345" spans="17:46">
      <c r="Q345" s="97" t="s">
        <v>4798</v>
      </c>
      <c r="R345" s="93">
        <v>-3500000</v>
      </c>
      <c r="T345" s="19" t="s">
        <v>5440</v>
      </c>
      <c r="U345" s="19">
        <v>846</v>
      </c>
      <c r="V345" s="115">
        <v>1441.6724569999999</v>
      </c>
      <c r="W345" s="115">
        <f t="shared" si="79"/>
        <v>1219654.8986219999</v>
      </c>
      <c r="X345" s="263" t="s">
        <v>5114</v>
      </c>
      <c r="Y345" t="s">
        <v>25</v>
      </c>
      <c r="Z345" t="s">
        <v>25</v>
      </c>
      <c r="AH345" s="20">
        <v>59</v>
      </c>
      <c r="AI345" s="20" t="s">
        <v>4888</v>
      </c>
      <c r="AJ345" s="115">
        <v>100000</v>
      </c>
      <c r="AK345" s="20">
        <v>7</v>
      </c>
      <c r="AL345" s="20">
        <f t="shared" si="88"/>
        <v>685</v>
      </c>
      <c r="AM345" s="20">
        <f t="shared" si="89"/>
        <v>68500000</v>
      </c>
      <c r="AN345" s="20"/>
    </row>
    <row r="346" spans="17:46">
      <c r="Q346" s="97" t="s">
        <v>4833</v>
      </c>
      <c r="R346" s="93">
        <v>2520000</v>
      </c>
      <c r="T346" s="19" t="s">
        <v>5441</v>
      </c>
      <c r="U346" s="19">
        <v>10573</v>
      </c>
      <c r="V346" s="115">
        <v>1451.825</v>
      </c>
      <c r="W346" s="115">
        <f t="shared" si="79"/>
        <v>15350145.725</v>
      </c>
      <c r="X346" s="263" t="s">
        <v>5114</v>
      </c>
      <c r="Y346" t="s">
        <v>25</v>
      </c>
      <c r="AH346" s="20">
        <v>60</v>
      </c>
      <c r="AI346" s="20" t="s">
        <v>4901</v>
      </c>
      <c r="AJ346" s="115">
        <v>50000</v>
      </c>
      <c r="AK346" s="20">
        <v>0</v>
      </c>
      <c r="AL346" s="20">
        <f t="shared" si="88"/>
        <v>678</v>
      </c>
      <c r="AM346" s="20">
        <f t="shared" si="89"/>
        <v>33900000</v>
      </c>
      <c r="AN346" s="20"/>
    </row>
    <row r="347" spans="17:46" ht="30">
      <c r="Q347" s="97" t="s">
        <v>4851</v>
      </c>
      <c r="R347" s="93">
        <v>4900000</v>
      </c>
      <c r="T347" s="19" t="s">
        <v>5442</v>
      </c>
      <c r="U347" s="19">
        <v>85</v>
      </c>
      <c r="V347" s="115">
        <v>1423.74</v>
      </c>
      <c r="W347" s="115">
        <f t="shared" si="79"/>
        <v>121017.9</v>
      </c>
      <c r="X347" s="263" t="s">
        <v>5443</v>
      </c>
      <c r="Y347" t="s">
        <v>25</v>
      </c>
      <c r="AH347" s="147">
        <v>61</v>
      </c>
      <c r="AI347" s="147" t="s">
        <v>4901</v>
      </c>
      <c r="AJ347" s="186">
        <v>50000</v>
      </c>
      <c r="AK347" s="147">
        <v>3</v>
      </c>
      <c r="AL347" s="147">
        <f t="shared" si="88"/>
        <v>678</v>
      </c>
      <c r="AM347" s="147">
        <f t="shared" si="89"/>
        <v>33900000</v>
      </c>
      <c r="AN347" s="147"/>
    </row>
    <row r="348" spans="17:46" ht="30">
      <c r="Q348" s="97" t="s">
        <v>4805</v>
      </c>
      <c r="R348" s="93">
        <v>1150000</v>
      </c>
      <c r="T348" s="19" t="s">
        <v>5446</v>
      </c>
      <c r="U348" s="19">
        <v>738</v>
      </c>
      <c r="V348" s="115">
        <v>1388.87895</v>
      </c>
      <c r="W348" s="115">
        <f t="shared" si="79"/>
        <v>1024992.6651</v>
      </c>
      <c r="X348" s="263" t="s">
        <v>5450</v>
      </c>
      <c r="Y348" t="s">
        <v>25</v>
      </c>
      <c r="AA348" t="s">
        <v>25</v>
      </c>
      <c r="AH348" s="20">
        <v>62</v>
      </c>
      <c r="AI348" s="20" t="s">
        <v>4904</v>
      </c>
      <c r="AJ348" s="115">
        <v>50000</v>
      </c>
      <c r="AK348" s="20">
        <v>0</v>
      </c>
      <c r="AL348" s="20">
        <f t="shared" si="88"/>
        <v>675</v>
      </c>
      <c r="AM348" s="20">
        <f t="shared" si="89"/>
        <v>33750000</v>
      </c>
      <c r="AN348" s="20"/>
    </row>
    <row r="349" spans="17:46">
      <c r="Q349" s="97" t="s">
        <v>4885</v>
      </c>
      <c r="R349" s="93">
        <v>250000</v>
      </c>
      <c r="T349" s="19" t="s">
        <v>5458</v>
      </c>
      <c r="U349" s="19">
        <v>1442</v>
      </c>
      <c r="V349" s="115">
        <v>1350.9547279999999</v>
      </c>
      <c r="W349" s="115">
        <f t="shared" si="79"/>
        <v>1948076.7177759998</v>
      </c>
      <c r="X349" s="263" t="s">
        <v>5114</v>
      </c>
      <c r="AH349" s="192">
        <v>63</v>
      </c>
      <c r="AI349" s="192" t="s">
        <v>4904</v>
      </c>
      <c r="AJ349" s="193">
        <v>50000</v>
      </c>
      <c r="AK349" s="192">
        <v>2</v>
      </c>
      <c r="AL349" s="192">
        <f t="shared" si="88"/>
        <v>675</v>
      </c>
      <c r="AM349" s="192">
        <f t="shared" si="89"/>
        <v>33750000</v>
      </c>
      <c r="AN349" s="192"/>
    </row>
    <row r="350" spans="17:46">
      <c r="Q350" s="97" t="s">
        <v>4888</v>
      </c>
      <c r="R350" s="93">
        <v>1403460</v>
      </c>
      <c r="T350" s="19" t="s">
        <v>5459</v>
      </c>
      <c r="U350" s="19">
        <v>36847</v>
      </c>
      <c r="V350" s="115">
        <v>1356.9658300000001</v>
      </c>
      <c r="W350" s="115">
        <f t="shared" si="79"/>
        <v>50000119.938010007</v>
      </c>
      <c r="X350" s="263" t="s">
        <v>5119</v>
      </c>
      <c r="AA350" t="s">
        <v>25</v>
      </c>
      <c r="AH350" s="20">
        <v>64</v>
      </c>
      <c r="AI350" s="20" t="s">
        <v>4911</v>
      </c>
      <c r="AJ350" s="115">
        <v>25000</v>
      </c>
      <c r="AK350" s="20">
        <v>0</v>
      </c>
      <c r="AL350" s="20">
        <f t="shared" si="88"/>
        <v>673</v>
      </c>
      <c r="AM350" s="20">
        <f t="shared" si="89"/>
        <v>16825000</v>
      </c>
      <c r="AN350" s="20"/>
    </row>
    <row r="351" spans="17:46" ht="30">
      <c r="Q351" s="97" t="s">
        <v>4893</v>
      </c>
      <c r="R351" s="93">
        <v>200000</v>
      </c>
      <c r="T351" s="19" t="s">
        <v>5460</v>
      </c>
      <c r="U351" s="19">
        <v>13738</v>
      </c>
      <c r="V351" s="115">
        <v>1455.82</v>
      </c>
      <c r="W351" s="115">
        <f t="shared" si="79"/>
        <v>20000055.16</v>
      </c>
      <c r="X351" s="263" t="s">
        <v>5476</v>
      </c>
      <c r="Y351" t="s">
        <v>25</v>
      </c>
      <c r="AH351" s="147">
        <v>65</v>
      </c>
      <c r="AI351" s="147" t="s">
        <v>4911</v>
      </c>
      <c r="AJ351" s="186">
        <v>35000</v>
      </c>
      <c r="AK351" s="147">
        <v>7</v>
      </c>
      <c r="AL351" s="147">
        <f t="shared" si="88"/>
        <v>673</v>
      </c>
      <c r="AM351" s="147">
        <f t="shared" si="89"/>
        <v>23555000</v>
      </c>
      <c r="AN351" s="147"/>
    </row>
    <row r="352" spans="17:46">
      <c r="Q352" s="97" t="s">
        <v>4898</v>
      </c>
      <c r="R352" s="93">
        <v>345000</v>
      </c>
      <c r="T352" s="19" t="s">
        <v>5483</v>
      </c>
      <c r="U352" s="19">
        <v>3100</v>
      </c>
      <c r="V352" s="115">
        <v>1853.4507470000001</v>
      </c>
      <c r="W352" s="115">
        <f t="shared" si="79"/>
        <v>5745697.3157000002</v>
      </c>
      <c r="X352" s="263" t="s">
        <v>5114</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4901</v>
      </c>
      <c r="R353" s="93">
        <v>900000</v>
      </c>
      <c r="S353" s="112"/>
      <c r="T353" s="19" t="s">
        <v>5484</v>
      </c>
      <c r="U353" s="19">
        <v>480</v>
      </c>
      <c r="V353" s="115">
        <v>1891.9962069999999</v>
      </c>
      <c r="W353" s="115">
        <f t="shared" si="79"/>
        <v>908158.17935999995</v>
      </c>
      <c r="X353" s="263" t="s">
        <v>5114</v>
      </c>
      <c r="Y353" t="s">
        <v>25</v>
      </c>
      <c r="AH353" s="20">
        <v>67</v>
      </c>
      <c r="AI353" s="20" t="s">
        <v>4919</v>
      </c>
      <c r="AJ353" s="115">
        <v>6800000</v>
      </c>
      <c r="AK353" s="20">
        <v>1</v>
      </c>
      <c r="AL353" s="20">
        <f t="shared" si="90"/>
        <v>666</v>
      </c>
      <c r="AM353" s="20">
        <f t="shared" si="91"/>
        <v>4528800000</v>
      </c>
      <c r="AN353" s="20"/>
    </row>
    <row r="354" spans="17:45">
      <c r="Q354" s="97" t="s">
        <v>4909</v>
      </c>
      <c r="R354" s="93">
        <v>372517</v>
      </c>
      <c r="T354" s="19" t="s">
        <v>5485</v>
      </c>
      <c r="U354" s="19">
        <v>6522</v>
      </c>
      <c r="V354" s="115">
        <v>1938.4694340000001</v>
      </c>
      <c r="W354" s="115">
        <f t="shared" si="79"/>
        <v>12642697.648548001</v>
      </c>
      <c r="X354" s="263" t="s">
        <v>5114</v>
      </c>
      <c r="AA354" t="s">
        <v>25</v>
      </c>
      <c r="AH354" s="20">
        <v>68</v>
      </c>
      <c r="AI354" s="20" t="s">
        <v>4922</v>
      </c>
      <c r="AJ354" s="115">
        <v>500000</v>
      </c>
      <c r="AK354" s="20">
        <v>1</v>
      </c>
      <c r="AL354" s="20">
        <f t="shared" si="90"/>
        <v>665</v>
      </c>
      <c r="AM354" s="20">
        <f t="shared" si="91"/>
        <v>332500000</v>
      </c>
      <c r="AN354" s="20"/>
    </row>
    <row r="355" spans="17:45">
      <c r="Q355" s="97" t="s">
        <v>4942</v>
      </c>
      <c r="R355" s="93">
        <v>6489257</v>
      </c>
      <c r="T355" s="19" t="s">
        <v>5486</v>
      </c>
      <c r="U355" s="19">
        <v>6197</v>
      </c>
      <c r="V355" s="115">
        <v>1984.3985499999999</v>
      </c>
      <c r="W355" s="115">
        <f t="shared" si="79"/>
        <v>12297317.81435</v>
      </c>
      <c r="X355" s="263" t="s">
        <v>5114</v>
      </c>
      <c r="AA355" t="s">
        <v>25</v>
      </c>
      <c r="AH355" s="20">
        <v>69</v>
      </c>
      <c r="AI355" s="20" t="s">
        <v>4926</v>
      </c>
      <c r="AJ355" s="115">
        <v>850000</v>
      </c>
      <c r="AK355" s="20">
        <v>5</v>
      </c>
      <c r="AL355" s="20">
        <f t="shared" si="90"/>
        <v>664</v>
      </c>
      <c r="AM355" s="20">
        <f t="shared" si="91"/>
        <v>564400000</v>
      </c>
      <c r="AN355" s="20"/>
    </row>
    <row r="356" spans="17:45">
      <c r="Q356" s="97" t="s">
        <v>4953</v>
      </c>
      <c r="R356" s="93">
        <v>618000</v>
      </c>
      <c r="T356" s="19" t="s">
        <v>5487</v>
      </c>
      <c r="U356" s="19">
        <v>4646</v>
      </c>
      <c r="V356" s="115">
        <v>1928.464023</v>
      </c>
      <c r="W356" s="115">
        <f t="shared" si="79"/>
        <v>8959643.8508579992</v>
      </c>
      <c r="X356" s="263" t="s">
        <v>5114</v>
      </c>
      <c r="Z356" t="s">
        <v>25</v>
      </c>
      <c r="AH356" s="20">
        <v>70</v>
      </c>
      <c r="AI356" s="20" t="s">
        <v>4934</v>
      </c>
      <c r="AJ356" s="115">
        <v>1130250</v>
      </c>
      <c r="AK356" s="20">
        <v>0</v>
      </c>
      <c r="AL356" s="20">
        <f t="shared" si="90"/>
        <v>659</v>
      </c>
      <c r="AM356" s="20">
        <f t="shared" si="91"/>
        <v>744834750</v>
      </c>
      <c r="AN356" s="20"/>
    </row>
    <row r="357" spans="17:45">
      <c r="Q357" s="97" t="s">
        <v>4957</v>
      </c>
      <c r="R357" s="93">
        <v>20105000</v>
      </c>
      <c r="T357" s="19" t="s">
        <v>5488</v>
      </c>
      <c r="U357" s="19">
        <v>7668</v>
      </c>
      <c r="V357" s="115">
        <v>1976.2774959999999</v>
      </c>
      <c r="W357" s="115">
        <f t="shared" si="79"/>
        <v>15154095.839328</v>
      </c>
      <c r="X357" s="263" t="s">
        <v>5114</v>
      </c>
      <c r="AH357" s="242">
        <v>71</v>
      </c>
      <c r="AI357" s="242" t="s">
        <v>4934</v>
      </c>
      <c r="AJ357" s="233">
        <v>30000</v>
      </c>
      <c r="AK357" s="242">
        <v>5</v>
      </c>
      <c r="AL357" s="242">
        <f t="shared" si="90"/>
        <v>659</v>
      </c>
      <c r="AM357" s="242">
        <f t="shared" si="91"/>
        <v>19770000</v>
      </c>
      <c r="AN357" s="242"/>
    </row>
    <row r="358" spans="17:45" ht="18" customHeight="1">
      <c r="Q358" s="97" t="s">
        <v>4958</v>
      </c>
      <c r="R358" s="93">
        <v>-21079990</v>
      </c>
      <c r="T358" s="19" t="s">
        <v>5495</v>
      </c>
      <c r="U358" s="19">
        <v>-43325</v>
      </c>
      <c r="V358" s="115">
        <v>2146.5548840000001</v>
      </c>
      <c r="W358" s="115">
        <f t="shared" si="79"/>
        <v>-92999490.349300012</v>
      </c>
      <c r="X358" s="263" t="s">
        <v>5496</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4964</v>
      </c>
      <c r="R359" s="93">
        <v>-5949277</v>
      </c>
      <c r="T359" s="19" t="s">
        <v>5503</v>
      </c>
      <c r="U359" s="19">
        <v>20888</v>
      </c>
      <c r="V359" s="115">
        <v>2428.4521530000002</v>
      </c>
      <c r="W359" s="115">
        <f t="shared" si="79"/>
        <v>50725508.571864001</v>
      </c>
      <c r="X359" s="263" t="s">
        <v>5114</v>
      </c>
      <c r="AH359" s="147">
        <v>73</v>
      </c>
      <c r="AI359" s="147" t="s">
        <v>4942</v>
      </c>
      <c r="AJ359" s="186">
        <v>206000</v>
      </c>
      <c r="AK359" s="147">
        <v>2</v>
      </c>
      <c r="AL359" s="147">
        <f t="shared" si="90"/>
        <v>654</v>
      </c>
      <c r="AM359" s="147">
        <f t="shared" si="91"/>
        <v>134724000</v>
      </c>
      <c r="AN359" s="147"/>
    </row>
    <row r="360" spans="17:45">
      <c r="Q360" s="97" t="s">
        <v>4970</v>
      </c>
      <c r="R360" s="93">
        <v>-15370656</v>
      </c>
      <c r="T360" s="19" t="s">
        <v>5504</v>
      </c>
      <c r="U360" s="19">
        <v>21663</v>
      </c>
      <c r="V360" s="115">
        <v>2308.0067819999999</v>
      </c>
      <c r="W360" s="115">
        <f t="shared" si="79"/>
        <v>49998350.918466002</v>
      </c>
      <c r="X360" s="263" t="s">
        <v>5507</v>
      </c>
      <c r="Y360" t="s">
        <v>25</v>
      </c>
      <c r="AH360" s="20">
        <v>74</v>
      </c>
      <c r="AI360" s="20" t="s">
        <v>4949</v>
      </c>
      <c r="AJ360" s="115">
        <v>50000</v>
      </c>
      <c r="AK360" s="20">
        <v>0</v>
      </c>
      <c r="AL360" s="20">
        <f t="shared" si="90"/>
        <v>652</v>
      </c>
      <c r="AM360" s="20">
        <f t="shared" si="91"/>
        <v>32600000</v>
      </c>
      <c r="AN360" s="20"/>
    </row>
    <row r="361" spans="17:45">
      <c r="Q361" s="97" t="s">
        <v>4970</v>
      </c>
      <c r="R361" s="93">
        <v>4960000</v>
      </c>
      <c r="T361" s="19" t="s">
        <v>5504</v>
      </c>
      <c r="U361" s="19">
        <v>977</v>
      </c>
      <c r="V361" s="115">
        <v>2335.6821479999999</v>
      </c>
      <c r="W361" s="115">
        <f t="shared" si="79"/>
        <v>2281961.458596</v>
      </c>
      <c r="X361" s="263" t="s">
        <v>5114</v>
      </c>
      <c r="AH361" s="242">
        <v>75</v>
      </c>
      <c r="AI361" s="242" t="s">
        <v>4949</v>
      </c>
      <c r="AJ361" s="233">
        <v>50000</v>
      </c>
      <c r="AK361" s="242">
        <v>2</v>
      </c>
      <c r="AL361" s="242">
        <f t="shared" si="90"/>
        <v>652</v>
      </c>
      <c r="AM361" s="242">
        <f t="shared" si="91"/>
        <v>32600000</v>
      </c>
      <c r="AN361" s="242"/>
    </row>
    <row r="362" spans="17:45" ht="18.75" customHeight="1">
      <c r="Q362" s="97" t="s">
        <v>4977</v>
      </c>
      <c r="R362" s="93">
        <v>10000000</v>
      </c>
      <c r="S362" t="s">
        <v>25</v>
      </c>
      <c r="T362" s="19" t="s">
        <v>5511</v>
      </c>
      <c r="U362" s="19">
        <v>4155</v>
      </c>
      <c r="V362" s="115">
        <v>2647</v>
      </c>
      <c r="W362" s="115">
        <f t="shared" si="79"/>
        <v>10998285</v>
      </c>
      <c r="X362" s="263" t="s">
        <v>5114</v>
      </c>
      <c r="AH362" s="20">
        <v>76</v>
      </c>
      <c r="AI362" s="20" t="s">
        <v>4953</v>
      </c>
      <c r="AJ362" s="115">
        <v>20000000</v>
      </c>
      <c r="AK362" s="20">
        <v>7</v>
      </c>
      <c r="AL362" s="20">
        <f t="shared" si="90"/>
        <v>650</v>
      </c>
      <c r="AM362" s="20">
        <f t="shared" si="91"/>
        <v>13000000000</v>
      </c>
      <c r="AN362" s="20" t="s">
        <v>4954</v>
      </c>
    </row>
    <row r="363" spans="17:45">
      <c r="Q363" s="97" t="s">
        <v>4986</v>
      </c>
      <c r="R363" s="93">
        <v>-40570100</v>
      </c>
      <c r="T363" s="19" t="s">
        <v>5512</v>
      </c>
      <c r="U363" s="19">
        <v>351</v>
      </c>
      <c r="V363" s="115">
        <v>2800.6238229999999</v>
      </c>
      <c r="W363" s="115">
        <f t="shared" si="79"/>
        <v>983018.96187300002</v>
      </c>
      <c r="X363" s="263" t="s">
        <v>5114</v>
      </c>
      <c r="Y363" t="s">
        <v>25</v>
      </c>
      <c r="AH363" s="20">
        <v>77</v>
      </c>
      <c r="AI363" s="20" t="s">
        <v>4964</v>
      </c>
      <c r="AJ363" s="115">
        <v>50000</v>
      </c>
      <c r="AK363" s="20">
        <v>0</v>
      </c>
      <c r="AL363" s="20">
        <f t="shared" si="90"/>
        <v>643</v>
      </c>
      <c r="AM363" s="20">
        <f t="shared" si="91"/>
        <v>32150000</v>
      </c>
      <c r="AN363" s="20"/>
    </row>
    <row r="364" spans="17:45">
      <c r="Q364" s="97" t="s">
        <v>4987</v>
      </c>
      <c r="R364" s="93">
        <v>1000000</v>
      </c>
      <c r="T364" s="19" t="s">
        <v>5514</v>
      </c>
      <c r="U364" s="19">
        <v>5877</v>
      </c>
      <c r="V364" s="115">
        <v>2901.0160000000001</v>
      </c>
      <c r="W364" s="115">
        <f t="shared" si="79"/>
        <v>17049271.032000002</v>
      </c>
      <c r="X364" s="263" t="s">
        <v>5114</v>
      </c>
      <c r="Y364" t="s">
        <v>25</v>
      </c>
      <c r="AH364" s="147">
        <v>78</v>
      </c>
      <c r="AI364" s="147" t="s">
        <v>4964</v>
      </c>
      <c r="AJ364" s="186">
        <v>50000</v>
      </c>
      <c r="AK364" s="147">
        <v>7</v>
      </c>
      <c r="AL364" s="147">
        <f t="shared" si="90"/>
        <v>643</v>
      </c>
      <c r="AM364" s="147">
        <f t="shared" si="91"/>
        <v>32150000</v>
      </c>
      <c r="AN364" s="147"/>
    </row>
    <row r="365" spans="17:45">
      <c r="Q365" s="97" t="s">
        <v>4994</v>
      </c>
      <c r="R365" s="93">
        <v>400000</v>
      </c>
      <c r="T365" s="19" t="s">
        <v>5517</v>
      </c>
      <c r="U365" s="19">
        <v>2374</v>
      </c>
      <c r="V365" s="115">
        <v>2877</v>
      </c>
      <c r="W365" s="115">
        <f t="shared" ref="W365:W402" si="92">U365*V365</f>
        <v>6829998</v>
      </c>
      <c r="X365" s="263" t="s">
        <v>5114</v>
      </c>
      <c r="AH365" s="20">
        <v>79</v>
      </c>
      <c r="AI365" s="20" t="s">
        <v>4970</v>
      </c>
      <c r="AJ365" s="115">
        <v>2480000</v>
      </c>
      <c r="AK365" s="20">
        <v>0</v>
      </c>
      <c r="AL365" s="20">
        <f t="shared" si="90"/>
        <v>636</v>
      </c>
      <c r="AM365" s="20">
        <f t="shared" si="91"/>
        <v>1577280000</v>
      </c>
      <c r="AN365" s="20"/>
    </row>
    <row r="366" spans="17:45">
      <c r="Q366" s="97" t="s">
        <v>5008</v>
      </c>
      <c r="R366" s="93">
        <v>120000</v>
      </c>
      <c r="T366" s="19" t="s">
        <v>4212</v>
      </c>
      <c r="U366" s="19">
        <v>2532</v>
      </c>
      <c r="V366" s="115">
        <v>2757.7444</v>
      </c>
      <c r="W366" s="115">
        <f t="shared" si="92"/>
        <v>6982608.8207999999</v>
      </c>
      <c r="X366" s="263" t="s">
        <v>5114</v>
      </c>
      <c r="AH366" s="147">
        <v>80</v>
      </c>
      <c r="AI366" s="147" t="s">
        <v>4970</v>
      </c>
      <c r="AJ366" s="186">
        <v>2480000</v>
      </c>
      <c r="AK366" s="147">
        <v>12</v>
      </c>
      <c r="AL366" s="147">
        <f t="shared" si="90"/>
        <v>636</v>
      </c>
      <c r="AM366" s="147">
        <f t="shared" si="91"/>
        <v>1577280000</v>
      </c>
      <c r="AN366" s="147"/>
    </row>
    <row r="367" spans="17:45">
      <c r="Q367" s="97" t="s">
        <v>4999</v>
      </c>
      <c r="R367" s="93">
        <v>500000</v>
      </c>
      <c r="T367" s="19" t="s">
        <v>4212</v>
      </c>
      <c r="U367" s="19">
        <v>4987</v>
      </c>
      <c r="V367" s="115">
        <v>2757.7444</v>
      </c>
      <c r="W367" s="115">
        <f t="shared" si="92"/>
        <v>13752871.322800001</v>
      </c>
      <c r="X367" s="263" t="s">
        <v>5533</v>
      </c>
      <c r="Y367" t="s">
        <v>25</v>
      </c>
      <c r="AH367" s="20">
        <v>81</v>
      </c>
      <c r="AI367" s="20" t="s">
        <v>4977</v>
      </c>
      <c r="AJ367" s="115">
        <v>-24159500</v>
      </c>
      <c r="AK367" s="20">
        <v>4</v>
      </c>
      <c r="AL367" s="20">
        <f t="shared" si="90"/>
        <v>624</v>
      </c>
      <c r="AM367" s="20">
        <f t="shared" si="91"/>
        <v>-15075528000</v>
      </c>
      <c r="AN367" s="20" t="s">
        <v>4985</v>
      </c>
    </row>
    <row r="368" spans="17:45">
      <c r="Q368" s="97" t="s">
        <v>5024</v>
      </c>
      <c r="R368" s="93">
        <v>744000</v>
      </c>
      <c r="T368" s="19" t="s">
        <v>4212</v>
      </c>
      <c r="U368" s="19">
        <v>997</v>
      </c>
      <c r="V368" s="115">
        <v>2757.7444</v>
      </c>
      <c r="W368" s="115">
        <f t="shared" si="92"/>
        <v>2749471.1668000002</v>
      </c>
      <c r="X368" s="263" t="s">
        <v>5534</v>
      </c>
      <c r="AH368" s="20">
        <v>82</v>
      </c>
      <c r="AI368" s="20" t="s">
        <v>4987</v>
      </c>
      <c r="AJ368" s="115">
        <v>400000</v>
      </c>
      <c r="AK368" s="20">
        <v>3</v>
      </c>
      <c r="AL368" s="20">
        <f t="shared" si="90"/>
        <v>620</v>
      </c>
      <c r="AM368" s="20">
        <f t="shared" si="91"/>
        <v>248000000</v>
      </c>
      <c r="AN368" s="20"/>
    </row>
    <row r="369" spans="17:45">
      <c r="Q369" s="97" t="s">
        <v>5029</v>
      </c>
      <c r="R369" s="93">
        <v>65000</v>
      </c>
      <c r="T369" s="19" t="s">
        <v>5538</v>
      </c>
      <c r="U369" s="19">
        <v>2874</v>
      </c>
      <c r="V369" s="115">
        <v>2613.1284000000001</v>
      </c>
      <c r="W369" s="115">
        <f t="shared" si="92"/>
        <v>7510131.0216000006</v>
      </c>
      <c r="X369" s="263" t="s">
        <v>5114</v>
      </c>
      <c r="AH369" s="147">
        <v>83</v>
      </c>
      <c r="AI369" s="147" t="s">
        <v>4994</v>
      </c>
      <c r="AJ369" s="186">
        <v>40000</v>
      </c>
      <c r="AK369" s="147">
        <v>0</v>
      </c>
      <c r="AL369" s="147">
        <f t="shared" si="90"/>
        <v>617</v>
      </c>
      <c r="AM369" s="147">
        <f t="shared" si="91"/>
        <v>24680000</v>
      </c>
      <c r="AN369" s="147"/>
    </row>
    <row r="370" spans="17:45">
      <c r="Q370" s="97" t="s">
        <v>5000</v>
      </c>
      <c r="R370" s="93">
        <v>-14053702</v>
      </c>
      <c r="T370" s="19" t="s">
        <v>5544</v>
      </c>
      <c r="U370" s="19">
        <v>2847</v>
      </c>
      <c r="V370" s="115">
        <v>2556.3841000000002</v>
      </c>
      <c r="W370" s="115">
        <f t="shared" si="92"/>
        <v>7278025.5327000003</v>
      </c>
      <c r="X370" s="263" t="s">
        <v>5114</v>
      </c>
      <c r="AB370" t="s">
        <v>25</v>
      </c>
      <c r="AH370" s="20">
        <v>84</v>
      </c>
      <c r="AI370" s="20" t="s">
        <v>4994</v>
      </c>
      <c r="AJ370" s="115">
        <v>40000</v>
      </c>
      <c r="AK370" s="20">
        <v>5</v>
      </c>
      <c r="AL370" s="20">
        <f t="shared" si="90"/>
        <v>617</v>
      </c>
      <c r="AM370" s="20">
        <f t="shared" si="91"/>
        <v>24680000</v>
      </c>
      <c r="AN370" s="20"/>
    </row>
    <row r="371" spans="17:45">
      <c r="Q371" s="97" t="s">
        <v>5065</v>
      </c>
      <c r="R371" s="93">
        <v>3555678</v>
      </c>
      <c r="T371" s="19" t="s">
        <v>5544</v>
      </c>
      <c r="U371" s="19">
        <v>1222</v>
      </c>
      <c r="V371" s="115">
        <v>2556.3841000000002</v>
      </c>
      <c r="W371" s="115">
        <f t="shared" si="92"/>
        <v>3123901.3702000002</v>
      </c>
      <c r="X371" s="263" t="s">
        <v>5545</v>
      </c>
      <c r="AH371" s="20">
        <v>85</v>
      </c>
      <c r="AI371" s="20" t="s">
        <v>5002</v>
      </c>
      <c r="AJ371" s="115">
        <v>200000</v>
      </c>
      <c r="AK371" s="20">
        <v>1</v>
      </c>
      <c r="AL371" s="20">
        <f t="shared" si="90"/>
        <v>612</v>
      </c>
      <c r="AM371" s="20">
        <f t="shared" si="91"/>
        <v>122400000</v>
      </c>
      <c r="AN371" s="20"/>
    </row>
    <row r="372" spans="17:45">
      <c r="Q372" s="97" t="s">
        <v>5069</v>
      </c>
      <c r="R372" s="93">
        <v>3495</v>
      </c>
      <c r="T372" s="19" t="s">
        <v>5553</v>
      </c>
      <c r="U372" s="19">
        <v>73</v>
      </c>
      <c r="V372" s="115">
        <v>2672.0459999999998</v>
      </c>
      <c r="W372" s="115">
        <f t="shared" si="92"/>
        <v>195059.35799999998</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ht="30">
      <c r="Q373" s="97" t="s">
        <v>5071</v>
      </c>
      <c r="R373" s="93">
        <v>6000000</v>
      </c>
      <c r="T373" s="19" t="s">
        <v>5558</v>
      </c>
      <c r="U373" s="19">
        <v>332</v>
      </c>
      <c r="V373" s="115">
        <v>2598.1260000000002</v>
      </c>
      <c r="W373" s="115">
        <f t="shared" si="92"/>
        <v>862577.83200000005</v>
      </c>
      <c r="X373" s="263" t="s">
        <v>5559</v>
      </c>
      <c r="Y373" t="s">
        <v>25</v>
      </c>
      <c r="Z373" t="s">
        <v>25</v>
      </c>
      <c r="AH373" s="20">
        <v>87</v>
      </c>
      <c r="AI373" s="20" t="s">
        <v>5008</v>
      </c>
      <c r="AJ373" s="115">
        <v>500000</v>
      </c>
      <c r="AK373" s="20">
        <v>3</v>
      </c>
      <c r="AL373" s="20">
        <f t="shared" si="93"/>
        <v>609</v>
      </c>
      <c r="AM373" s="20">
        <f t="shared" si="94"/>
        <v>304500000</v>
      </c>
      <c r="AN373" s="20"/>
    </row>
    <row r="374" spans="17:45">
      <c r="Q374" s="97" t="s">
        <v>5072</v>
      </c>
      <c r="R374" s="93">
        <v>17220</v>
      </c>
      <c r="T374" s="19" t="s">
        <v>5560</v>
      </c>
      <c r="U374" s="19">
        <v>346</v>
      </c>
      <c r="V374" s="115">
        <v>2659.8510000000001</v>
      </c>
      <c r="W374" s="115">
        <f t="shared" si="92"/>
        <v>920308.446</v>
      </c>
      <c r="X374" s="263" t="s">
        <v>5114</v>
      </c>
      <c r="AH374" s="20">
        <v>88</v>
      </c>
      <c r="AI374" s="20" t="s">
        <v>4999</v>
      </c>
      <c r="AJ374" s="115">
        <v>250000</v>
      </c>
      <c r="AK374" s="20">
        <v>0</v>
      </c>
      <c r="AL374" s="20">
        <f t="shared" si="93"/>
        <v>606</v>
      </c>
      <c r="AM374" s="20">
        <f t="shared" si="94"/>
        <v>151500000</v>
      </c>
      <c r="AN374" s="20"/>
      <c r="AS374" t="s">
        <v>25</v>
      </c>
    </row>
    <row r="375" spans="17:45">
      <c r="Q375" s="97" t="s">
        <v>5074</v>
      </c>
      <c r="R375" s="93">
        <v>8249</v>
      </c>
      <c r="T375" s="19" t="s">
        <v>5561</v>
      </c>
      <c r="U375" s="19">
        <v>1722</v>
      </c>
      <c r="V375" s="115">
        <v>2692.1079220000001</v>
      </c>
      <c r="W375" s="115">
        <f t="shared" si="92"/>
        <v>4635809.8416840006</v>
      </c>
      <c r="X375" s="263" t="s">
        <v>5114</v>
      </c>
      <c r="Y375" t="s">
        <v>25</v>
      </c>
      <c r="AH375" s="242">
        <v>89</v>
      </c>
      <c r="AI375" s="242" t="s">
        <v>4999</v>
      </c>
      <c r="AJ375" s="233">
        <v>245000</v>
      </c>
      <c r="AK375" s="242">
        <v>16</v>
      </c>
      <c r="AL375" s="242">
        <f t="shared" si="93"/>
        <v>606</v>
      </c>
      <c r="AM375" s="242">
        <f t="shared" si="94"/>
        <v>148470000</v>
      </c>
      <c r="AN375" s="242"/>
    </row>
    <row r="376" spans="17:45">
      <c r="Q376" s="97" t="s">
        <v>5074</v>
      </c>
      <c r="R376" s="93">
        <v>6937</v>
      </c>
      <c r="T376" s="19" t="s">
        <v>5563</v>
      </c>
      <c r="U376" s="19">
        <v>106</v>
      </c>
      <c r="V376" s="115">
        <v>2725.4</v>
      </c>
      <c r="W376" s="115">
        <f t="shared" si="92"/>
        <v>288892.40000000002</v>
      </c>
      <c r="X376" s="263" t="s">
        <v>452</v>
      </c>
      <c r="Y376" t="s">
        <v>25</v>
      </c>
      <c r="Z376" t="s">
        <v>25</v>
      </c>
      <c r="AH376" s="20">
        <v>90</v>
      </c>
      <c r="AI376" s="20" t="s">
        <v>5033</v>
      </c>
      <c r="AJ376" s="115">
        <v>312598</v>
      </c>
      <c r="AK376" s="20">
        <v>0</v>
      </c>
      <c r="AL376" s="20">
        <f t="shared" si="93"/>
        <v>590</v>
      </c>
      <c r="AM376" s="20">
        <f t="shared" si="94"/>
        <v>184432820</v>
      </c>
      <c r="AN376" s="20"/>
    </row>
    <row r="377" spans="17:45">
      <c r="Q377" s="97" t="s">
        <v>5077</v>
      </c>
      <c r="R377" s="93">
        <v>4046552</v>
      </c>
      <c r="T377" s="19" t="s">
        <v>5591</v>
      </c>
      <c r="U377" s="19">
        <v>25901</v>
      </c>
      <c r="V377" s="115">
        <v>2258.9090000000001</v>
      </c>
      <c r="W377" s="115">
        <f t="shared" si="92"/>
        <v>58508002.009000003</v>
      </c>
      <c r="X377" s="263" t="s">
        <v>5114</v>
      </c>
      <c r="AH377" s="20">
        <v>91</v>
      </c>
      <c r="AI377" s="20" t="s">
        <v>5033</v>
      </c>
      <c r="AJ377" s="115">
        <v>780000</v>
      </c>
      <c r="AK377" s="20">
        <v>0</v>
      </c>
      <c r="AL377" s="20">
        <f t="shared" si="93"/>
        <v>590</v>
      </c>
      <c r="AM377" s="20">
        <f t="shared" si="94"/>
        <v>460200000</v>
      </c>
      <c r="AN377" s="20"/>
      <c r="AR377" t="s">
        <v>25</v>
      </c>
    </row>
    <row r="378" spans="17:45">
      <c r="Q378" s="97" t="s">
        <v>5084</v>
      </c>
      <c r="R378" s="93">
        <v>-3884943</v>
      </c>
      <c r="S378" t="s">
        <v>25</v>
      </c>
      <c r="T378" s="19" t="s">
        <v>5593</v>
      </c>
      <c r="U378" s="19">
        <v>951</v>
      </c>
      <c r="V378" s="115">
        <v>2361.2150799999999</v>
      </c>
      <c r="W378" s="115">
        <f t="shared" si="92"/>
        <v>2245515.5410799999</v>
      </c>
      <c r="X378" s="263" t="s">
        <v>5114</v>
      </c>
      <c r="AH378" s="192">
        <v>92</v>
      </c>
      <c r="AI378" s="192" t="s">
        <v>5033</v>
      </c>
      <c r="AJ378" s="193">
        <v>-300000</v>
      </c>
      <c r="AK378" s="192">
        <v>1</v>
      </c>
      <c r="AL378" s="192">
        <f t="shared" si="93"/>
        <v>590</v>
      </c>
      <c r="AM378" s="192">
        <f t="shared" si="94"/>
        <v>-177000000</v>
      </c>
      <c r="AN378" s="192"/>
    </row>
    <row r="379" spans="17:45">
      <c r="Q379" s="97" t="s">
        <v>5110</v>
      </c>
      <c r="R379" s="93">
        <v>6022</v>
      </c>
      <c r="T379" s="19" t="s">
        <v>5595</v>
      </c>
      <c r="U379" s="19">
        <v>7622</v>
      </c>
      <c r="V379" s="115">
        <v>2414.6810999999998</v>
      </c>
      <c r="W379" s="115">
        <f t="shared" si="92"/>
        <v>18404699.3442</v>
      </c>
      <c r="X379" s="263" t="s">
        <v>5114</v>
      </c>
      <c r="AH379" s="20">
        <v>93</v>
      </c>
      <c r="AI379" s="20" t="s">
        <v>5000</v>
      </c>
      <c r="AJ379" s="115">
        <v>300000</v>
      </c>
      <c r="AK379" s="20">
        <v>0</v>
      </c>
      <c r="AL379" s="20">
        <f t="shared" si="93"/>
        <v>589</v>
      </c>
      <c r="AM379" s="20">
        <f t="shared" si="94"/>
        <v>176700000</v>
      </c>
      <c r="AN379" s="20"/>
    </row>
    <row r="380" spans="17:45">
      <c r="Q380" s="97" t="s">
        <v>5113</v>
      </c>
      <c r="R380" s="93">
        <v>400000</v>
      </c>
      <c r="T380" s="19" t="s">
        <v>5595</v>
      </c>
      <c r="U380" s="19">
        <v>-282</v>
      </c>
      <c r="V380" s="115">
        <v>2414.6810999999998</v>
      </c>
      <c r="W380" s="115">
        <f t="shared" si="92"/>
        <v>-680940.07019999996</v>
      </c>
      <c r="X380" s="263" t="s">
        <v>5596</v>
      </c>
      <c r="AH380" s="20">
        <v>94</v>
      </c>
      <c r="AI380" s="20" t="s">
        <v>5000</v>
      </c>
      <c r="AJ380" s="115">
        <v>8660000</v>
      </c>
      <c r="AK380" s="20">
        <v>8</v>
      </c>
      <c r="AL380" s="20">
        <f t="shared" si="93"/>
        <v>589</v>
      </c>
      <c r="AM380" s="20">
        <f t="shared" si="94"/>
        <v>5100740000</v>
      </c>
      <c r="AN380" s="20"/>
    </row>
    <row r="381" spans="17:45">
      <c r="Q381" s="97" t="s">
        <v>5113</v>
      </c>
      <c r="R381" s="93">
        <v>92847</v>
      </c>
      <c r="T381" s="19" t="s">
        <v>5595</v>
      </c>
      <c r="U381" s="19">
        <v>20162</v>
      </c>
      <c r="V381" s="115">
        <v>2414.6810999999998</v>
      </c>
      <c r="W381" s="115">
        <f t="shared" si="92"/>
        <v>48684800.338199995</v>
      </c>
      <c r="X381" s="263" t="s">
        <v>5597</v>
      </c>
      <c r="AH381" s="147">
        <v>95</v>
      </c>
      <c r="AI381" s="147" t="s">
        <v>5050</v>
      </c>
      <c r="AJ381" s="186">
        <v>200000</v>
      </c>
      <c r="AK381" s="147">
        <v>3</v>
      </c>
      <c r="AL381" s="147">
        <f t="shared" si="93"/>
        <v>581</v>
      </c>
      <c r="AM381" s="147">
        <f t="shared" si="94"/>
        <v>116200000</v>
      </c>
      <c r="AN381" s="147"/>
      <c r="AP381" t="s">
        <v>25</v>
      </c>
    </row>
    <row r="382" spans="17:45">
      <c r="Q382" s="97" t="s">
        <v>5117</v>
      </c>
      <c r="R382" s="93">
        <v>-100000</v>
      </c>
      <c r="T382" s="19" t="s">
        <v>5595</v>
      </c>
      <c r="U382" s="19">
        <v>-20162</v>
      </c>
      <c r="V382" s="115">
        <v>2414.6810999999998</v>
      </c>
      <c r="W382" s="115">
        <f t="shared" si="92"/>
        <v>-48684800.338199995</v>
      </c>
      <c r="X382" s="263" t="s">
        <v>744</v>
      </c>
      <c r="AH382" s="147">
        <v>96</v>
      </c>
      <c r="AI382" s="147" t="s">
        <v>5053</v>
      </c>
      <c r="AJ382" s="186">
        <v>20000</v>
      </c>
      <c r="AK382" s="147">
        <v>1</v>
      </c>
      <c r="AL382" s="147">
        <f t="shared" si="93"/>
        <v>578</v>
      </c>
      <c r="AM382" s="147">
        <f t="shared" si="94"/>
        <v>11560000</v>
      </c>
      <c r="AN382" s="147"/>
    </row>
    <row r="383" spans="17:45">
      <c r="Q383" s="97" t="s">
        <v>5122</v>
      </c>
      <c r="R383" s="93">
        <v>10000000</v>
      </c>
      <c r="T383" s="19" t="s">
        <v>5598</v>
      </c>
      <c r="U383" s="19">
        <v>977</v>
      </c>
      <c r="V383" s="115">
        <v>2317.971947</v>
      </c>
      <c r="W383" s="115">
        <f t="shared" si="92"/>
        <v>2264658.5922190002</v>
      </c>
      <c r="X383" s="263" t="s">
        <v>5114</v>
      </c>
      <c r="AH383" s="20">
        <v>97</v>
      </c>
      <c r="AI383" s="20" t="s">
        <v>5063</v>
      </c>
      <c r="AJ383" s="115">
        <v>14340000</v>
      </c>
      <c r="AK383" s="20">
        <v>7</v>
      </c>
      <c r="AL383" s="20">
        <f t="shared" si="93"/>
        <v>577</v>
      </c>
      <c r="AM383" s="20">
        <f t="shared" si="94"/>
        <v>8274180000</v>
      </c>
      <c r="AN383" s="20"/>
    </row>
    <row r="384" spans="17:45">
      <c r="Q384" s="97" t="s">
        <v>5126</v>
      </c>
      <c r="R384" s="93">
        <v>-400000</v>
      </c>
      <c r="T384" s="19" t="s">
        <v>5600</v>
      </c>
      <c r="U384" s="19">
        <v>10280</v>
      </c>
      <c r="V384" s="115">
        <v>2225.429357</v>
      </c>
      <c r="W384" s="115">
        <f t="shared" si="92"/>
        <v>22877413.789960001</v>
      </c>
      <c r="X384" s="263" t="s">
        <v>5114</v>
      </c>
      <c r="AH384" s="20">
        <v>98</v>
      </c>
      <c r="AI384" s="20" t="s">
        <v>5069</v>
      </c>
      <c r="AJ384" s="115">
        <v>10000000</v>
      </c>
      <c r="AK384" s="20">
        <v>6</v>
      </c>
      <c r="AL384" s="20">
        <f t="shared" si="93"/>
        <v>570</v>
      </c>
      <c r="AM384" s="20">
        <f t="shared" si="94"/>
        <v>5700000000</v>
      </c>
      <c r="AN384" s="20" t="s">
        <v>4678</v>
      </c>
    </row>
    <row r="385" spans="16:45">
      <c r="Q385" s="97" t="s">
        <v>5128</v>
      </c>
      <c r="R385" s="93">
        <v>5649</v>
      </c>
      <c r="T385" s="19" t="s">
        <v>5603</v>
      </c>
      <c r="U385" s="19">
        <v>1022</v>
      </c>
      <c r="V385" s="115">
        <v>2311.6824240000001</v>
      </c>
      <c r="W385" s="115">
        <f t="shared" si="92"/>
        <v>2362539.4373280001</v>
      </c>
      <c r="X385" s="263" t="s">
        <v>5114</v>
      </c>
      <c r="AH385" s="20">
        <v>99</v>
      </c>
      <c r="AI385" s="20" t="s">
        <v>5074</v>
      </c>
      <c r="AJ385" s="115">
        <v>4033949</v>
      </c>
      <c r="AK385" s="20">
        <v>2</v>
      </c>
      <c r="AL385" s="20">
        <f t="shared" si="93"/>
        <v>564</v>
      </c>
      <c r="AM385" s="20">
        <f t="shared" si="94"/>
        <v>2275147236</v>
      </c>
      <c r="AN385" s="20" t="s">
        <v>5076</v>
      </c>
    </row>
    <row r="386" spans="16:45">
      <c r="Q386" s="97" t="s">
        <v>5129</v>
      </c>
      <c r="R386" s="93">
        <v>460000</v>
      </c>
      <c r="T386" s="19" t="s">
        <v>5604</v>
      </c>
      <c r="U386" s="19">
        <v>6818</v>
      </c>
      <c r="V386" s="115">
        <v>2352.988656</v>
      </c>
      <c r="W386" s="115">
        <f t="shared" si="92"/>
        <v>16042676.656608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5129</v>
      </c>
      <c r="R387" s="93">
        <v>1300000</v>
      </c>
      <c r="T387" s="19" t="s">
        <v>5605</v>
      </c>
      <c r="U387" s="19">
        <v>8023</v>
      </c>
      <c r="V387" s="115">
        <v>2293.8167079999998</v>
      </c>
      <c r="W387" s="115">
        <f t="shared" si="92"/>
        <v>18403291.448284</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977</v>
      </c>
      <c r="R388" s="93">
        <v>7300000</v>
      </c>
      <c r="T388" s="19" t="s">
        <v>5608</v>
      </c>
      <c r="U388" s="19">
        <v>4666</v>
      </c>
      <c r="V388" s="115">
        <v>2263.4906230000001</v>
      </c>
      <c r="W388" s="115">
        <f t="shared" si="92"/>
        <v>10561447.246918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4256</v>
      </c>
      <c r="R389" s="93">
        <v>21203</v>
      </c>
      <c r="T389" s="19" t="s">
        <v>5609</v>
      </c>
      <c r="U389" s="19">
        <v>542</v>
      </c>
      <c r="V389" s="115">
        <v>2263.4906230000001</v>
      </c>
      <c r="W389" s="115">
        <f t="shared" si="92"/>
        <v>1226811.9176660001</v>
      </c>
      <c r="X389" s="263" t="s">
        <v>5114</v>
      </c>
      <c r="AH389" s="147">
        <v>103</v>
      </c>
      <c r="AI389" s="147" t="s">
        <v>5110</v>
      </c>
      <c r="AJ389" s="186">
        <v>1500000</v>
      </c>
      <c r="AK389" s="147">
        <v>6</v>
      </c>
      <c r="AL389" s="147">
        <f t="shared" si="93"/>
        <v>556</v>
      </c>
      <c r="AM389" s="147">
        <f t="shared" si="94"/>
        <v>834000000</v>
      </c>
      <c r="AN389" s="147" t="s">
        <v>5082</v>
      </c>
    </row>
    <row r="390" spans="16:45">
      <c r="Q390" s="97" t="s">
        <v>5127</v>
      </c>
      <c r="R390" s="93">
        <v>34550</v>
      </c>
      <c r="T390" s="19" t="s">
        <v>5610</v>
      </c>
      <c r="U390" s="19">
        <v>16629</v>
      </c>
      <c r="V390" s="115">
        <v>2367.7887540000002</v>
      </c>
      <c r="W390" s="115">
        <f t="shared" si="92"/>
        <v>39373959.190266006</v>
      </c>
      <c r="X390" s="263" t="s">
        <v>5114</v>
      </c>
      <c r="AH390" s="20">
        <v>104</v>
      </c>
      <c r="AI390" s="20" t="s">
        <v>960</v>
      </c>
      <c r="AJ390" s="115">
        <v>-3960043</v>
      </c>
      <c r="AK390" s="20">
        <v>2</v>
      </c>
      <c r="AL390" s="20">
        <f t="shared" si="93"/>
        <v>550</v>
      </c>
      <c r="AM390" s="20">
        <f t="shared" si="94"/>
        <v>-2178023650</v>
      </c>
      <c r="AN390" s="20"/>
    </row>
    <row r="391" spans="16:45">
      <c r="Q391" s="97" t="s">
        <v>5164</v>
      </c>
      <c r="R391" s="93">
        <v>-2134406</v>
      </c>
      <c r="T391" s="19" t="s">
        <v>5615</v>
      </c>
      <c r="U391" s="19">
        <v>11765</v>
      </c>
      <c r="V391" s="115">
        <v>2354.7375320000001</v>
      </c>
      <c r="W391" s="115">
        <f t="shared" si="92"/>
        <v>27703487.063980002</v>
      </c>
      <c r="X391" s="263" t="s">
        <v>5114</v>
      </c>
      <c r="AH391" s="20">
        <v>105</v>
      </c>
      <c r="AI391" s="20" t="s">
        <v>5128</v>
      </c>
      <c r="AJ391" s="115">
        <v>230000</v>
      </c>
      <c r="AK391" s="20">
        <v>0</v>
      </c>
      <c r="AL391" s="20">
        <f t="shared" si="93"/>
        <v>548</v>
      </c>
      <c r="AM391" s="20">
        <f t="shared" si="94"/>
        <v>126040000</v>
      </c>
      <c r="AN391" s="20"/>
    </row>
    <row r="392" spans="16:45">
      <c r="Q392" s="97" t="s">
        <v>5167</v>
      </c>
      <c r="R392" s="93">
        <v>-618906</v>
      </c>
      <c r="T392" s="19" t="s">
        <v>5616</v>
      </c>
      <c r="U392" s="19">
        <v>3672</v>
      </c>
      <c r="V392" s="115">
        <v>2379.873826</v>
      </c>
      <c r="W392" s="115">
        <f t="shared" si="92"/>
        <v>8738896.6890719999</v>
      </c>
      <c r="X392" s="263" t="s">
        <v>5114</v>
      </c>
      <c r="Z392" t="s">
        <v>25</v>
      </c>
      <c r="AH392" s="147">
        <v>106</v>
      </c>
      <c r="AI392" s="147" t="s">
        <v>5128</v>
      </c>
      <c r="AJ392" s="186">
        <v>230000</v>
      </c>
      <c r="AK392" s="147">
        <v>1</v>
      </c>
      <c r="AL392" s="147">
        <f t="shared" si="93"/>
        <v>548</v>
      </c>
      <c r="AM392" s="147">
        <f t="shared" si="94"/>
        <v>126040000</v>
      </c>
      <c r="AN392" s="147"/>
    </row>
    <row r="393" spans="16:45">
      <c r="Q393" s="97" t="s">
        <v>5209</v>
      </c>
      <c r="R393" s="93">
        <v>-54615</v>
      </c>
      <c r="T393" s="19" t="s">
        <v>4185</v>
      </c>
      <c r="U393" s="19">
        <v>140</v>
      </c>
      <c r="V393" s="115">
        <v>2487.154767</v>
      </c>
      <c r="W393" s="115">
        <f t="shared" si="92"/>
        <v>348201.66738</v>
      </c>
      <c r="X393" s="263" t="s">
        <v>5114</v>
      </c>
      <c r="AH393" s="147">
        <v>107</v>
      </c>
      <c r="AI393" s="147" t="s">
        <v>5129</v>
      </c>
      <c r="AJ393" s="186">
        <v>500000</v>
      </c>
      <c r="AK393" s="147">
        <v>1</v>
      </c>
      <c r="AL393" s="147">
        <f t="shared" si="93"/>
        <v>547</v>
      </c>
      <c r="AM393" s="147">
        <f t="shared" si="94"/>
        <v>273500000</v>
      </c>
      <c r="AN393" s="147"/>
      <c r="AR393" t="s">
        <v>25</v>
      </c>
    </row>
    <row r="394" spans="16:45">
      <c r="Q394" s="97" t="s">
        <v>5254</v>
      </c>
      <c r="R394" s="93">
        <v>18000000</v>
      </c>
      <c r="T394" s="19" t="s">
        <v>5618</v>
      </c>
      <c r="U394" s="19">
        <v>1616</v>
      </c>
      <c r="V394" s="115">
        <v>2573.0760479999999</v>
      </c>
      <c r="W394" s="115">
        <f t="shared" si="92"/>
        <v>4158090.8935679998</v>
      </c>
      <c r="X394" s="263" t="s">
        <v>5114</v>
      </c>
      <c r="AH394" s="20">
        <v>108</v>
      </c>
      <c r="AI394" s="20" t="s">
        <v>5132</v>
      </c>
      <c r="AJ394" s="115">
        <v>-880000</v>
      </c>
      <c r="AK394" s="20">
        <v>4</v>
      </c>
      <c r="AL394" s="20">
        <f t="shared" si="93"/>
        <v>546</v>
      </c>
      <c r="AM394" s="20">
        <f t="shared" si="94"/>
        <v>-480480000</v>
      </c>
      <c r="AN394" s="20"/>
    </row>
    <row r="395" spans="16:45">
      <c r="Q395" s="97" t="s">
        <v>5261</v>
      </c>
      <c r="R395" s="93">
        <v>20000000</v>
      </c>
      <c r="T395" s="187" t="s">
        <v>5619</v>
      </c>
      <c r="U395" s="187">
        <v>5682</v>
      </c>
      <c r="V395" s="186">
        <v>2639.970566</v>
      </c>
      <c r="W395" s="186">
        <f t="shared" si="92"/>
        <v>15000312.756012</v>
      </c>
      <c r="X395" s="262" t="s">
        <v>5875</v>
      </c>
      <c r="AH395" s="192">
        <v>109</v>
      </c>
      <c r="AI395" s="192" t="s">
        <v>5136</v>
      </c>
      <c r="AJ395" s="193">
        <v>873000</v>
      </c>
      <c r="AK395" s="192">
        <v>0</v>
      </c>
      <c r="AL395" s="192">
        <f t="shared" si="93"/>
        <v>542</v>
      </c>
      <c r="AM395" s="192">
        <f t="shared" si="94"/>
        <v>473166000</v>
      </c>
      <c r="AN395" s="192" t="s">
        <v>5082</v>
      </c>
    </row>
    <row r="396" spans="16:45" ht="30">
      <c r="Q396" s="97" t="s">
        <v>5336</v>
      </c>
      <c r="R396" s="93">
        <v>27694196</v>
      </c>
      <c r="T396" s="187" t="s">
        <v>5619</v>
      </c>
      <c r="U396" s="187">
        <v>-122</v>
      </c>
      <c r="V396" s="186">
        <v>2639.970566</v>
      </c>
      <c r="W396" s="186">
        <f t="shared" si="92"/>
        <v>-322076.40905199997</v>
      </c>
      <c r="X396" s="262" t="s">
        <v>5915</v>
      </c>
      <c r="Y396" t="s">
        <v>25</v>
      </c>
      <c r="AH396" s="20">
        <v>110</v>
      </c>
      <c r="AI396" s="20" t="s">
        <v>5136</v>
      </c>
      <c r="AJ396" s="115">
        <v>127000</v>
      </c>
      <c r="AK396" s="20">
        <v>0</v>
      </c>
      <c r="AL396" s="20">
        <f t="shared" si="93"/>
        <v>542</v>
      </c>
      <c r="AM396" s="20">
        <f t="shared" si="94"/>
        <v>68834000</v>
      </c>
      <c r="AN396" s="20" t="s">
        <v>5082</v>
      </c>
    </row>
    <row r="397" spans="16:45">
      <c r="Q397" s="97" t="s">
        <v>5337</v>
      </c>
      <c r="R397" s="93">
        <v>7211722</v>
      </c>
      <c r="T397" s="19" t="s">
        <v>5619</v>
      </c>
      <c r="U397" s="19">
        <v>2272</v>
      </c>
      <c r="V397" s="115">
        <v>2639.970566</v>
      </c>
      <c r="W397" s="115">
        <f t="shared" si="92"/>
        <v>5998013.1259519998</v>
      </c>
      <c r="X397" s="263" t="s">
        <v>5628</v>
      </c>
      <c r="AA397" t="s">
        <v>25</v>
      </c>
      <c r="AH397" s="20">
        <v>111</v>
      </c>
      <c r="AI397" s="20" t="s">
        <v>5136</v>
      </c>
      <c r="AJ397" s="115">
        <v>73000</v>
      </c>
      <c r="AK397" s="20">
        <v>1</v>
      </c>
      <c r="AL397" s="20">
        <f t="shared" si="93"/>
        <v>542</v>
      </c>
      <c r="AM397" s="20">
        <f t="shared" si="94"/>
        <v>39566000</v>
      </c>
      <c r="AN397" s="20"/>
    </row>
    <row r="398" spans="16:45" ht="21" customHeight="1">
      <c r="Q398" s="97" t="s">
        <v>5341</v>
      </c>
      <c r="R398" s="93">
        <v>8481864</v>
      </c>
      <c r="T398" s="19" t="s">
        <v>5619</v>
      </c>
      <c r="U398" s="19">
        <v>4434</v>
      </c>
      <c r="V398" s="115">
        <v>2639.970566</v>
      </c>
      <c r="W398" s="115">
        <f t="shared" si="92"/>
        <v>11705629.489644</v>
      </c>
      <c r="X398" s="263" t="s">
        <v>5629</v>
      </c>
      <c r="AH398" s="20">
        <v>112</v>
      </c>
      <c r="AI398" s="20" t="s">
        <v>977</v>
      </c>
      <c r="AJ398" s="115">
        <v>4300000</v>
      </c>
      <c r="AK398" s="20">
        <v>1</v>
      </c>
      <c r="AL398" s="20">
        <f t="shared" si="93"/>
        <v>541</v>
      </c>
      <c r="AM398" s="20">
        <f t="shared" si="94"/>
        <v>2326300000</v>
      </c>
      <c r="AN398" s="20"/>
    </row>
    <row r="399" spans="16:45">
      <c r="Q399" s="97" t="s">
        <v>5346</v>
      </c>
      <c r="R399" s="93">
        <v>1558697</v>
      </c>
      <c r="T399" s="19" t="s">
        <v>5619</v>
      </c>
      <c r="U399" s="19">
        <v>2349</v>
      </c>
      <c r="V399" s="115">
        <v>2639.970566</v>
      </c>
      <c r="W399" s="115">
        <f t="shared" si="92"/>
        <v>6201290.859534</v>
      </c>
      <c r="X399" s="263" t="s">
        <v>5630</v>
      </c>
      <c r="AH399" s="20">
        <v>113</v>
      </c>
      <c r="AI399" s="20" t="s">
        <v>5012</v>
      </c>
      <c r="AJ399" s="115">
        <v>1600000</v>
      </c>
      <c r="AK399" s="20">
        <v>0</v>
      </c>
      <c r="AL399" s="20">
        <f t="shared" si="93"/>
        <v>540</v>
      </c>
      <c r="AM399" s="20">
        <f t="shared" si="94"/>
        <v>864000000</v>
      </c>
      <c r="AN399" s="20"/>
    </row>
    <row r="400" spans="16:45" ht="18" customHeight="1">
      <c r="Q400" s="97" t="s">
        <v>5347</v>
      </c>
      <c r="R400" s="93">
        <v>9042009</v>
      </c>
      <c r="S400" t="s">
        <v>25</v>
      </c>
      <c r="T400" s="19" t="s">
        <v>5619</v>
      </c>
      <c r="U400" s="19">
        <v>-568</v>
      </c>
      <c r="V400" s="115">
        <v>2639.970566</v>
      </c>
      <c r="W400" s="115">
        <f t="shared" si="92"/>
        <v>-1499503.2814879999</v>
      </c>
      <c r="X400" s="263" t="s">
        <v>5631</v>
      </c>
      <c r="Y400" t="s">
        <v>25</v>
      </c>
      <c r="AH400" s="20">
        <v>114</v>
      </c>
      <c r="AI400" s="20" t="s">
        <v>4256</v>
      </c>
      <c r="AJ400" s="115">
        <v>-10000000</v>
      </c>
      <c r="AK400" s="20">
        <v>1</v>
      </c>
      <c r="AL400" s="20">
        <f t="shared" si="93"/>
        <v>540</v>
      </c>
      <c r="AM400" s="20">
        <f t="shared" si="94"/>
        <v>-5400000000</v>
      </c>
      <c r="AN400" s="20" t="s">
        <v>5142</v>
      </c>
    </row>
    <row r="401" spans="17:45" ht="21" customHeight="1">
      <c r="Q401" s="97" t="s">
        <v>5351</v>
      </c>
      <c r="R401" s="93">
        <v>94969</v>
      </c>
      <c r="T401" s="19" t="s">
        <v>5619</v>
      </c>
      <c r="U401" s="19">
        <v>568</v>
      </c>
      <c r="V401" s="115">
        <v>2639.970566</v>
      </c>
      <c r="W401" s="115">
        <f t="shared" si="92"/>
        <v>1499503.2814879999</v>
      </c>
      <c r="X401" s="263" t="s">
        <v>5631</v>
      </c>
      <c r="AD401" t="s">
        <v>25</v>
      </c>
      <c r="AH401" s="20">
        <v>115</v>
      </c>
      <c r="AI401" s="20" t="s">
        <v>5141</v>
      </c>
      <c r="AJ401" s="115">
        <v>571000</v>
      </c>
      <c r="AK401" s="20">
        <v>4</v>
      </c>
      <c r="AL401" s="20">
        <f t="shared" si="93"/>
        <v>539</v>
      </c>
      <c r="AM401" s="20">
        <f t="shared" si="94"/>
        <v>307769000</v>
      </c>
      <c r="AN401" s="20"/>
    </row>
    <row r="402" spans="17:45">
      <c r="Q402" s="97" t="s">
        <v>5351</v>
      </c>
      <c r="R402" s="93">
        <v>40000000</v>
      </c>
      <c r="T402" s="19" t="s">
        <v>5622</v>
      </c>
      <c r="U402" s="19">
        <v>4589</v>
      </c>
      <c r="V402" s="115">
        <v>2639.970566</v>
      </c>
      <c r="W402" s="115">
        <f t="shared" si="92"/>
        <v>12114824.927374</v>
      </c>
      <c r="X402" s="263" t="s">
        <v>5632</v>
      </c>
      <c r="Y402" t="s">
        <v>25</v>
      </c>
      <c r="AH402" s="20">
        <v>116</v>
      </c>
      <c r="AI402" s="20" t="s">
        <v>5143</v>
      </c>
      <c r="AJ402" s="115">
        <v>200000</v>
      </c>
      <c r="AK402" s="20">
        <v>3</v>
      </c>
      <c r="AL402" s="20">
        <f t="shared" ref="AL402:AL413" si="95">AK402+AL403</f>
        <v>535</v>
      </c>
      <c r="AM402" s="20">
        <f t="shared" ref="AM402:AM413" si="96">AJ402*AL402</f>
        <v>107000000</v>
      </c>
      <c r="AN402" s="20"/>
      <c r="AS402" t="s">
        <v>25</v>
      </c>
    </row>
    <row r="403" spans="17:45">
      <c r="Q403" s="97" t="s">
        <v>5352</v>
      </c>
      <c r="R403" s="93">
        <v>2806274</v>
      </c>
      <c r="T403" s="19" t="s">
        <v>5622</v>
      </c>
      <c r="U403" s="19">
        <v>41959</v>
      </c>
      <c r="V403" s="115">
        <v>2639.970566</v>
      </c>
      <c r="W403" s="115">
        <f t="shared" ref="W403:W502" si="97">U403*V403</f>
        <v>110770524.97879399</v>
      </c>
      <c r="X403" s="263" t="s">
        <v>5114</v>
      </c>
      <c r="AH403" s="147">
        <v>117</v>
      </c>
      <c r="AI403" s="147" t="s">
        <v>5149</v>
      </c>
      <c r="AJ403" s="186">
        <v>50000</v>
      </c>
      <c r="AK403" s="147">
        <v>7</v>
      </c>
      <c r="AL403" s="147">
        <f t="shared" si="95"/>
        <v>532</v>
      </c>
      <c r="AM403" s="147">
        <f t="shared" si="96"/>
        <v>26600000</v>
      </c>
      <c r="AN403" s="147"/>
    </row>
    <row r="404" spans="17:45">
      <c r="Q404" s="97" t="s">
        <v>5360</v>
      </c>
      <c r="R404" s="93">
        <v>1331702</v>
      </c>
      <c r="T404" s="19" t="s">
        <v>5634</v>
      </c>
      <c r="U404" s="19">
        <v>2486</v>
      </c>
      <c r="V404" s="115">
        <v>2688.7156100000002</v>
      </c>
      <c r="W404" s="115">
        <f t="shared" si="97"/>
        <v>6684147.0064600008</v>
      </c>
      <c r="X404" s="263" t="s">
        <v>5114</v>
      </c>
      <c r="AH404" s="20">
        <v>118</v>
      </c>
      <c r="AI404" s="20" t="s">
        <v>5157</v>
      </c>
      <c r="AJ404" s="115">
        <v>-500000</v>
      </c>
      <c r="AK404" s="20">
        <v>12</v>
      </c>
      <c r="AL404" s="20">
        <f t="shared" si="95"/>
        <v>525</v>
      </c>
      <c r="AM404" s="20">
        <f t="shared" si="96"/>
        <v>-262500000</v>
      </c>
      <c r="AN404" s="20"/>
    </row>
    <row r="405" spans="17:45">
      <c r="Q405" s="97" t="s">
        <v>5394</v>
      </c>
      <c r="R405" s="93">
        <v>851238</v>
      </c>
      <c r="T405" s="19" t="s">
        <v>5637</v>
      </c>
      <c r="U405" s="19">
        <v>652</v>
      </c>
      <c r="V405" s="115">
        <v>2801.4344030000002</v>
      </c>
      <c r="W405" s="115">
        <f t="shared" si="97"/>
        <v>1826535.2307560001</v>
      </c>
      <c r="X405" s="263" t="s">
        <v>5114</v>
      </c>
      <c r="AH405" s="147">
        <v>119</v>
      </c>
      <c r="AI405" s="147" t="s">
        <v>976</v>
      </c>
      <c r="AJ405" s="186">
        <v>-50000</v>
      </c>
      <c r="AK405" s="147">
        <v>0</v>
      </c>
      <c r="AL405" s="147">
        <f t="shared" si="95"/>
        <v>513</v>
      </c>
      <c r="AM405" s="147">
        <f t="shared" si="96"/>
        <v>-25650000</v>
      </c>
      <c r="AN405" s="147"/>
    </row>
    <row r="406" spans="17:45">
      <c r="Q406" s="97" t="s">
        <v>5438</v>
      </c>
      <c r="R406" s="93">
        <v>652592</v>
      </c>
      <c r="T406" s="187" t="s">
        <v>5637</v>
      </c>
      <c r="U406" s="187">
        <v>-536</v>
      </c>
      <c r="V406" s="186">
        <v>2801.4344030000002</v>
      </c>
      <c r="W406" s="186">
        <f t="shared" si="97"/>
        <v>-1501568.8400080001</v>
      </c>
      <c r="X406" s="262" t="s">
        <v>5650</v>
      </c>
      <c r="AH406" s="20">
        <v>120</v>
      </c>
      <c r="AI406" s="20" t="s">
        <v>976</v>
      </c>
      <c r="AJ406" s="115">
        <v>-50000</v>
      </c>
      <c r="AK406" s="20">
        <v>28</v>
      </c>
      <c r="AL406" s="20">
        <f t="shared" si="95"/>
        <v>513</v>
      </c>
      <c r="AM406" s="20">
        <f t="shared" si="96"/>
        <v>-25650000</v>
      </c>
      <c r="AN406" s="20"/>
    </row>
    <row r="407" spans="17:45">
      <c r="Q407" s="97" t="s">
        <v>5439</v>
      </c>
      <c r="R407" s="93">
        <v>554139</v>
      </c>
      <c r="T407" s="19" t="s">
        <v>5641</v>
      </c>
      <c r="U407" s="19">
        <v>1351</v>
      </c>
      <c r="V407" s="115">
        <v>2647.94</v>
      </c>
      <c r="W407" s="115">
        <f t="shared" si="97"/>
        <v>3577366.94</v>
      </c>
      <c r="X407" s="263" t="s">
        <v>5114</v>
      </c>
      <c r="AH407" s="20">
        <v>121</v>
      </c>
      <c r="AI407" s="20" t="s">
        <v>5198</v>
      </c>
      <c r="AJ407" s="115">
        <v>-3020625</v>
      </c>
      <c r="AK407" s="20">
        <v>18</v>
      </c>
      <c r="AL407" s="20">
        <f t="shared" si="95"/>
        <v>485</v>
      </c>
      <c r="AM407" s="20">
        <f t="shared" si="96"/>
        <v>-1465003125</v>
      </c>
      <c r="AN407" s="20"/>
    </row>
    <row r="408" spans="17:45">
      <c r="Q408" s="97" t="s">
        <v>5440</v>
      </c>
      <c r="R408" s="93">
        <v>70373089</v>
      </c>
      <c r="T408" s="19" t="s">
        <v>5643</v>
      </c>
      <c r="U408" s="19">
        <v>8402</v>
      </c>
      <c r="V408" s="115">
        <v>2527.8539839999999</v>
      </c>
      <c r="W408" s="115">
        <f t="shared" si="97"/>
        <v>21239029.173567999</v>
      </c>
      <c r="X408" s="263" t="s">
        <v>5114</v>
      </c>
      <c r="AH408" s="20">
        <v>122</v>
      </c>
      <c r="AI408" s="20" t="s">
        <v>5209</v>
      </c>
      <c r="AJ408" s="115">
        <v>18000000</v>
      </c>
      <c r="AK408" s="20">
        <v>19</v>
      </c>
      <c r="AL408" s="20">
        <f t="shared" si="95"/>
        <v>467</v>
      </c>
      <c r="AM408" s="20">
        <f t="shared" si="96"/>
        <v>8406000000</v>
      </c>
      <c r="AN408" s="20"/>
    </row>
    <row r="409" spans="17:45">
      <c r="Q409" s="97" t="s">
        <v>5441</v>
      </c>
      <c r="R409" s="93">
        <v>1219655</v>
      </c>
      <c r="T409" s="19" t="s">
        <v>5647</v>
      </c>
      <c r="U409" s="19">
        <v>98141</v>
      </c>
      <c r="V409" s="115">
        <v>2475.593813</v>
      </c>
      <c r="W409" s="115">
        <f t="shared" si="97"/>
        <v>242957252.40163299</v>
      </c>
      <c r="X409" s="263" t="s">
        <v>5114</v>
      </c>
      <c r="AH409" s="20">
        <v>123</v>
      </c>
      <c r="AI409" s="20" t="s">
        <v>5236</v>
      </c>
      <c r="AJ409" s="115">
        <v>2000000</v>
      </c>
      <c r="AK409" s="20">
        <v>6</v>
      </c>
      <c r="AL409" s="20">
        <f t="shared" si="95"/>
        <v>448</v>
      </c>
      <c r="AM409" s="20">
        <f t="shared" si="96"/>
        <v>896000000</v>
      </c>
      <c r="AN409" s="20"/>
    </row>
    <row r="410" spans="17:45">
      <c r="Q410" s="97" t="s">
        <v>5442</v>
      </c>
      <c r="R410" s="93">
        <v>15350146</v>
      </c>
      <c r="T410" s="19" t="s">
        <v>5651</v>
      </c>
      <c r="U410" s="19">
        <v>2910</v>
      </c>
      <c r="V410" s="115">
        <v>2528.240988</v>
      </c>
      <c r="W410" s="115">
        <f t="shared" si="97"/>
        <v>7357181.2750800001</v>
      </c>
      <c r="X410" s="263" t="s">
        <v>5114</v>
      </c>
      <c r="Z410" t="s">
        <v>25</v>
      </c>
      <c r="AH410" s="147">
        <v>124</v>
      </c>
      <c r="AI410" s="147" t="s">
        <v>5245</v>
      </c>
      <c r="AJ410" s="186">
        <v>40000000</v>
      </c>
      <c r="AK410" s="147">
        <v>6</v>
      </c>
      <c r="AL410" s="147">
        <f t="shared" si="95"/>
        <v>442</v>
      </c>
      <c r="AM410" s="147">
        <f t="shared" si="96"/>
        <v>17680000000</v>
      </c>
      <c r="AN410" s="147"/>
    </row>
    <row r="411" spans="17:45">
      <c r="Q411" s="97" t="s">
        <v>5446</v>
      </c>
      <c r="R411" s="93">
        <v>121018</v>
      </c>
      <c r="T411" s="19" t="s">
        <v>5653</v>
      </c>
      <c r="U411" s="19">
        <v>5652</v>
      </c>
      <c r="V411" s="115">
        <v>2645.3312000000001</v>
      </c>
      <c r="W411" s="115">
        <f t="shared" si="97"/>
        <v>14951411.942400001</v>
      </c>
      <c r="X411" s="263" t="s">
        <v>5114</v>
      </c>
      <c r="AH411" s="20">
        <v>125</v>
      </c>
      <c r="AI411" s="20" t="s">
        <v>5254</v>
      </c>
      <c r="AJ411" s="115">
        <v>200000</v>
      </c>
      <c r="AK411" s="20">
        <v>0</v>
      </c>
      <c r="AL411" s="20">
        <f t="shared" si="95"/>
        <v>436</v>
      </c>
      <c r="AM411" s="20">
        <f t="shared" si="96"/>
        <v>87200000</v>
      </c>
      <c r="AN411" s="20"/>
    </row>
    <row r="412" spans="17:45">
      <c r="Q412" s="97" t="s">
        <v>5458</v>
      </c>
      <c r="R412" s="93">
        <v>1024993</v>
      </c>
      <c r="T412" s="19" t="s">
        <v>5657</v>
      </c>
      <c r="U412" s="19">
        <v>18764</v>
      </c>
      <c r="V412" s="115">
        <v>2554.2639829999998</v>
      </c>
      <c r="W412" s="115">
        <f t="shared" si="97"/>
        <v>47928209.377011999</v>
      </c>
      <c r="X412" s="263" t="s">
        <v>5114</v>
      </c>
      <c r="AA412" t="s">
        <v>25</v>
      </c>
      <c r="AH412" s="147">
        <v>126</v>
      </c>
      <c r="AI412" s="147" t="s">
        <v>5254</v>
      </c>
      <c r="AJ412" s="186">
        <v>200000</v>
      </c>
      <c r="AK412" s="147">
        <v>1</v>
      </c>
      <c r="AL412" s="147">
        <f t="shared" si="95"/>
        <v>436</v>
      </c>
      <c r="AM412" s="147">
        <f t="shared" si="96"/>
        <v>87200000</v>
      </c>
      <c r="AN412" s="147"/>
    </row>
    <row r="413" spans="17:45">
      <c r="Q413" s="97" t="s">
        <v>5459</v>
      </c>
      <c r="R413" s="93">
        <v>1948077</v>
      </c>
      <c r="T413" s="19" t="s">
        <v>5659</v>
      </c>
      <c r="U413" s="19">
        <v>930</v>
      </c>
      <c r="V413" s="115">
        <v>2453.3287089999999</v>
      </c>
      <c r="W413" s="115">
        <f t="shared" si="97"/>
        <v>2281595.69937</v>
      </c>
      <c r="X413" s="263" t="s">
        <v>5114</v>
      </c>
      <c r="AH413" s="20">
        <v>127</v>
      </c>
      <c r="AI413" s="20" t="s">
        <v>5257</v>
      </c>
      <c r="AJ413" s="115">
        <v>50000</v>
      </c>
      <c r="AK413" s="20">
        <v>4</v>
      </c>
      <c r="AL413" s="20">
        <f t="shared" si="95"/>
        <v>435</v>
      </c>
      <c r="AM413" s="20">
        <f t="shared" si="96"/>
        <v>21750000</v>
      </c>
      <c r="AN413" s="20"/>
      <c r="AR413" t="s">
        <v>25</v>
      </c>
    </row>
    <row r="414" spans="17:45">
      <c r="Q414" s="97" t="s">
        <v>5460</v>
      </c>
      <c r="R414" s="93">
        <v>50000120</v>
      </c>
      <c r="T414" s="19" t="s">
        <v>5661</v>
      </c>
      <c r="U414" s="19">
        <v>1167</v>
      </c>
      <c r="V414" s="115">
        <v>2540.6307069999998</v>
      </c>
      <c r="W414" s="115">
        <f t="shared" si="97"/>
        <v>2964916.035069</v>
      </c>
      <c r="X414" s="263" t="s">
        <v>5114</v>
      </c>
      <c r="AA414" t="s">
        <v>25</v>
      </c>
      <c r="AH414" s="20">
        <v>128</v>
      </c>
      <c r="AI414" s="20" t="s">
        <v>5259</v>
      </c>
      <c r="AJ414" s="115">
        <v>100000</v>
      </c>
      <c r="AK414" s="20">
        <v>9</v>
      </c>
      <c r="AL414" s="20">
        <f t="shared" ref="AL414:AL424" si="98">AK414+AL415</f>
        <v>431</v>
      </c>
      <c r="AM414" s="20">
        <f t="shared" ref="AM414:AM424" si="99">AJ414*AL414</f>
        <v>43100000</v>
      </c>
      <c r="AN414" s="20"/>
    </row>
    <row r="415" spans="17:45">
      <c r="Q415" s="97" t="s">
        <v>5483</v>
      </c>
      <c r="R415" s="93">
        <v>20000055</v>
      </c>
      <c r="T415" s="19" t="s">
        <v>5662</v>
      </c>
      <c r="U415" s="19">
        <v>2538</v>
      </c>
      <c r="V415" s="115">
        <v>2545.5277489999999</v>
      </c>
      <c r="W415" s="115">
        <f t="shared" si="97"/>
        <v>6460549.4269619994</v>
      </c>
      <c r="X415" s="263" t="s">
        <v>5114</v>
      </c>
      <c r="Z415" t="s">
        <v>25</v>
      </c>
      <c r="AA415" t="s">
        <v>25</v>
      </c>
      <c r="AH415" s="20">
        <v>129</v>
      </c>
      <c r="AI415" s="20" t="s">
        <v>5275</v>
      </c>
      <c r="AJ415" s="115">
        <v>-550000</v>
      </c>
      <c r="AK415" s="20">
        <v>5</v>
      </c>
      <c r="AL415" s="20">
        <f t="shared" si="98"/>
        <v>422</v>
      </c>
      <c r="AM415" s="20">
        <f t="shared" si="99"/>
        <v>-232100000</v>
      </c>
      <c r="AN415" s="20"/>
      <c r="AS415" t="s">
        <v>25</v>
      </c>
    </row>
    <row r="416" spans="17:45">
      <c r="Q416" s="97" t="s">
        <v>5484</v>
      </c>
      <c r="R416" s="93">
        <v>5745697</v>
      </c>
      <c r="T416" s="19" t="s">
        <v>5664</v>
      </c>
      <c r="U416" s="19">
        <v>2106</v>
      </c>
      <c r="V416" s="115">
        <v>2474.9857059999999</v>
      </c>
      <c r="W416" s="115">
        <f t="shared" si="97"/>
        <v>5212319.8968359996</v>
      </c>
      <c r="X416" s="263" t="s">
        <v>5114</v>
      </c>
      <c r="AH416" s="20">
        <v>130</v>
      </c>
      <c r="AI416" s="20" t="s">
        <v>5280</v>
      </c>
      <c r="AJ416" s="115">
        <v>-29686490</v>
      </c>
      <c r="AK416" s="20">
        <v>1</v>
      </c>
      <c r="AL416" s="20">
        <f t="shared" si="98"/>
        <v>417</v>
      </c>
      <c r="AM416" s="20">
        <f t="shared" si="99"/>
        <v>-12379266330</v>
      </c>
      <c r="AN416" s="20"/>
    </row>
    <row r="417" spans="17:45">
      <c r="Q417" s="97" t="s">
        <v>5485</v>
      </c>
      <c r="R417" s="93">
        <v>908158</v>
      </c>
      <c r="T417" s="19" t="s">
        <v>5667</v>
      </c>
      <c r="U417" s="19">
        <v>1801</v>
      </c>
      <c r="V417" s="115">
        <v>2512.2134809999998</v>
      </c>
      <c r="W417" s="115">
        <f t="shared" si="97"/>
        <v>4524496.4792809999</v>
      </c>
      <c r="X417" s="263" t="s">
        <v>5114</v>
      </c>
      <c r="AH417" s="20">
        <v>131</v>
      </c>
      <c r="AI417" s="20" t="s">
        <v>5288</v>
      </c>
      <c r="AJ417" s="115">
        <v>-9000000</v>
      </c>
      <c r="AK417" s="20">
        <v>8</v>
      </c>
      <c r="AL417" s="20">
        <f t="shared" si="98"/>
        <v>416</v>
      </c>
      <c r="AM417" s="20">
        <f t="shared" si="99"/>
        <v>-3744000000</v>
      </c>
      <c r="AN417" s="20"/>
      <c r="AR417" t="s">
        <v>25</v>
      </c>
      <c r="AS417" t="s">
        <v>25</v>
      </c>
    </row>
    <row r="418" spans="17:45">
      <c r="Q418" s="97" t="s">
        <v>5486</v>
      </c>
      <c r="R418" s="93">
        <v>12642697</v>
      </c>
      <c r="T418" s="19" t="s">
        <v>5669</v>
      </c>
      <c r="U418" s="19">
        <v>9184</v>
      </c>
      <c r="V418" s="115">
        <v>2489.76919</v>
      </c>
      <c r="W418" s="115">
        <f t="shared" si="97"/>
        <v>22866040.240959998</v>
      </c>
      <c r="X418" s="263" t="s">
        <v>5114</v>
      </c>
      <c r="AH418" s="20">
        <v>132</v>
      </c>
      <c r="AI418" s="20" t="s">
        <v>5332</v>
      </c>
      <c r="AJ418" s="115">
        <v>810000</v>
      </c>
      <c r="AK418" s="20">
        <v>2</v>
      </c>
      <c r="AL418" s="20">
        <f t="shared" si="98"/>
        <v>408</v>
      </c>
      <c r="AM418" s="20">
        <f t="shared" si="99"/>
        <v>330480000</v>
      </c>
      <c r="AN418" s="20"/>
    </row>
    <row r="419" spans="17:45">
      <c r="Q419" s="97" t="s">
        <v>5487</v>
      </c>
      <c r="R419" s="93">
        <v>12297317.81435</v>
      </c>
      <c r="T419" s="19" t="s">
        <v>5671</v>
      </c>
      <c r="U419" s="19">
        <v>6259</v>
      </c>
      <c r="V419" s="115">
        <v>2453.954988</v>
      </c>
      <c r="W419" s="115">
        <f t="shared" si="97"/>
        <v>15359304.269892</v>
      </c>
      <c r="X419" s="263" t="s">
        <v>5114</v>
      </c>
      <c r="Y419" t="s">
        <v>25</v>
      </c>
      <c r="AH419" s="20">
        <v>133</v>
      </c>
      <c r="AI419" s="20" t="s">
        <v>5337</v>
      </c>
      <c r="AJ419" s="115">
        <v>-5000000</v>
      </c>
      <c r="AK419" s="20">
        <v>3</v>
      </c>
      <c r="AL419" s="20">
        <f t="shared" si="98"/>
        <v>406</v>
      </c>
      <c r="AM419" s="20">
        <f t="shared" si="99"/>
        <v>-2030000000</v>
      </c>
      <c r="AN419" s="20"/>
    </row>
    <row r="420" spans="17:45">
      <c r="Q420" s="97" t="s">
        <v>5488</v>
      </c>
      <c r="R420" s="93">
        <v>8959643.8508579992</v>
      </c>
      <c r="T420" s="19" t="s">
        <v>5673</v>
      </c>
      <c r="U420" s="19">
        <v>1223</v>
      </c>
      <c r="V420" s="115">
        <v>2345.4686710000001</v>
      </c>
      <c r="W420" s="115">
        <f t="shared" si="97"/>
        <v>2868508.1846330003</v>
      </c>
      <c r="X420" s="263" t="s">
        <v>5114</v>
      </c>
      <c r="AH420" s="20">
        <v>134</v>
      </c>
      <c r="AI420" s="20" t="s">
        <v>5341</v>
      </c>
      <c r="AJ420" s="115">
        <v>-26000000</v>
      </c>
      <c r="AK420" s="20">
        <v>0</v>
      </c>
      <c r="AL420" s="20">
        <f t="shared" si="98"/>
        <v>403</v>
      </c>
      <c r="AM420" s="20">
        <f t="shared" si="99"/>
        <v>-10478000000</v>
      </c>
      <c r="AN420" s="20"/>
      <c r="AR420" t="s">
        <v>25</v>
      </c>
    </row>
    <row r="421" spans="17:45">
      <c r="Q421" s="97" t="s">
        <v>5503</v>
      </c>
      <c r="R421" s="93">
        <v>15154095.839328</v>
      </c>
      <c r="S421" t="s">
        <v>25</v>
      </c>
      <c r="T421" s="19" t="s">
        <v>5674</v>
      </c>
      <c r="U421" s="19">
        <v>7804</v>
      </c>
      <c r="V421" s="115">
        <v>2236.0831640000001</v>
      </c>
      <c r="W421" s="115">
        <f t="shared" si="97"/>
        <v>17450393.011856001</v>
      </c>
      <c r="X421" s="263" t="s">
        <v>5114</v>
      </c>
      <c r="AH421" s="242">
        <v>135</v>
      </c>
      <c r="AI421" s="242" t="s">
        <v>5341</v>
      </c>
      <c r="AJ421" s="233">
        <v>-26000000</v>
      </c>
      <c r="AK421" s="242">
        <v>1</v>
      </c>
      <c r="AL421" s="242">
        <f t="shared" si="98"/>
        <v>403</v>
      </c>
      <c r="AM421" s="242">
        <f t="shared" si="99"/>
        <v>-10478000000</v>
      </c>
      <c r="AN421" s="242"/>
    </row>
    <row r="422" spans="17:45">
      <c r="Q422" s="97" t="s">
        <v>5504</v>
      </c>
      <c r="R422" s="93">
        <v>50725508.571864001</v>
      </c>
      <c r="T422" s="19" t="s">
        <v>5675</v>
      </c>
      <c r="U422" s="19">
        <v>14589</v>
      </c>
      <c r="V422" s="115">
        <v>2151.5486500000002</v>
      </c>
      <c r="W422" s="115">
        <f t="shared" si="97"/>
        <v>31388943.254850004</v>
      </c>
      <c r="X422" s="263" t="s">
        <v>5114</v>
      </c>
      <c r="AH422" s="20">
        <v>136</v>
      </c>
      <c r="AI422" s="20" t="s">
        <v>5346</v>
      </c>
      <c r="AJ422" s="115">
        <v>-81800000</v>
      </c>
      <c r="AK422" s="20">
        <v>0</v>
      </c>
      <c r="AL422" s="20">
        <f t="shared" si="98"/>
        <v>402</v>
      </c>
      <c r="AM422" s="20">
        <f t="shared" si="99"/>
        <v>-32883600000</v>
      </c>
      <c r="AN422" s="20"/>
    </row>
    <row r="423" spans="17:45">
      <c r="Q423" s="97" t="s">
        <v>5511</v>
      </c>
      <c r="R423" s="93">
        <v>2281961.458596</v>
      </c>
      <c r="T423" s="19" t="s">
        <v>5676</v>
      </c>
      <c r="U423" s="19">
        <v>14741</v>
      </c>
      <c r="V423" s="115">
        <v>2097.0148140000001</v>
      </c>
      <c r="W423" s="115">
        <f t="shared" si="97"/>
        <v>30912095.373174001</v>
      </c>
      <c r="X423" s="263" t="s">
        <v>5114</v>
      </c>
      <c r="Y423" t="s">
        <v>25</v>
      </c>
      <c r="AH423" s="242">
        <v>137</v>
      </c>
      <c r="AI423" s="242" t="s">
        <v>5346</v>
      </c>
      <c r="AJ423" s="233">
        <v>-110000000</v>
      </c>
      <c r="AK423" s="242">
        <v>1</v>
      </c>
      <c r="AL423" s="242">
        <f t="shared" si="98"/>
        <v>402</v>
      </c>
      <c r="AM423" s="242">
        <f t="shared" si="99"/>
        <v>-44220000000</v>
      </c>
      <c r="AN423" s="242"/>
    </row>
    <row r="424" spans="17:45">
      <c r="Q424" s="97" t="s">
        <v>5512</v>
      </c>
      <c r="R424" s="93">
        <v>10998285</v>
      </c>
      <c r="T424" s="19" t="s">
        <v>5678</v>
      </c>
      <c r="U424" s="19">
        <v>10237</v>
      </c>
      <c r="V424" s="115">
        <v>1914.9092619999999</v>
      </c>
      <c r="W424" s="115">
        <f t="shared" si="97"/>
        <v>19602926.115093999</v>
      </c>
      <c r="X424" s="263" t="s">
        <v>5114</v>
      </c>
      <c r="Z424" t="s">
        <v>25</v>
      </c>
      <c r="AH424" s="20">
        <v>138</v>
      </c>
      <c r="AI424" s="20" t="s">
        <v>5347</v>
      </c>
      <c r="AJ424" s="115">
        <v>-34000000</v>
      </c>
      <c r="AK424" s="20">
        <v>0</v>
      </c>
      <c r="AL424" s="20">
        <f t="shared" si="98"/>
        <v>401</v>
      </c>
      <c r="AM424" s="20">
        <f t="shared" si="99"/>
        <v>-13634000000</v>
      </c>
      <c r="AN424" s="20"/>
    </row>
    <row r="425" spans="17:45">
      <c r="Q425" s="97" t="s">
        <v>5514</v>
      </c>
      <c r="R425" s="93">
        <v>983018.96187300002</v>
      </c>
      <c r="S425" t="s">
        <v>25</v>
      </c>
      <c r="T425" s="19" t="s">
        <v>5682</v>
      </c>
      <c r="U425" s="19">
        <v>19211</v>
      </c>
      <c r="V425" s="115">
        <v>1793.6906100000001</v>
      </c>
      <c r="W425" s="115">
        <f t="shared" si="97"/>
        <v>34458590.308710001</v>
      </c>
      <c r="X425" s="263" t="s">
        <v>5114</v>
      </c>
      <c r="Z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5517</v>
      </c>
      <c r="R426" s="93">
        <v>17049271.032000002</v>
      </c>
      <c r="T426" s="19" t="s">
        <v>5684</v>
      </c>
      <c r="U426" s="19">
        <v>11599</v>
      </c>
      <c r="V426" s="115">
        <v>1870.667144</v>
      </c>
      <c r="W426" s="115">
        <f t="shared" si="97"/>
        <v>21697868.203256</v>
      </c>
      <c r="X426" s="263" t="s">
        <v>5114</v>
      </c>
      <c r="Y426" t="s">
        <v>25</v>
      </c>
      <c r="AH426" s="20">
        <v>140</v>
      </c>
      <c r="AI426" s="20" t="s">
        <v>5360</v>
      </c>
      <c r="AJ426" s="115">
        <v>1000000</v>
      </c>
      <c r="AK426" s="20">
        <v>0</v>
      </c>
      <c r="AL426" s="20">
        <f t="shared" si="100"/>
        <v>396</v>
      </c>
      <c r="AM426" s="20">
        <f t="shared" si="101"/>
        <v>396000000</v>
      </c>
      <c r="AN426" s="20"/>
    </row>
    <row r="427" spans="17:45">
      <c r="Q427" s="97" t="s">
        <v>4212</v>
      </c>
      <c r="R427" s="93">
        <v>6829998</v>
      </c>
      <c r="T427" s="19" t="s">
        <v>5686</v>
      </c>
      <c r="U427" s="19">
        <v>14098</v>
      </c>
      <c r="V427" s="115">
        <v>1797.423695</v>
      </c>
      <c r="W427" s="115">
        <f t="shared" si="97"/>
        <v>25340079.252110001</v>
      </c>
      <c r="X427" s="263" t="s">
        <v>5114</v>
      </c>
      <c r="AH427" s="147">
        <v>141</v>
      </c>
      <c r="AI427" s="147" t="s">
        <v>5360</v>
      </c>
      <c r="AJ427" s="186">
        <v>1000000</v>
      </c>
      <c r="AK427" s="147">
        <v>4</v>
      </c>
      <c r="AL427" s="147">
        <f t="shared" si="100"/>
        <v>396</v>
      </c>
      <c r="AM427" s="147">
        <f t="shared" si="101"/>
        <v>396000000</v>
      </c>
      <c r="AN427" s="147"/>
    </row>
    <row r="428" spans="17:45">
      <c r="Q428" s="97" t="s">
        <v>5538</v>
      </c>
      <c r="R428" s="93">
        <v>6982608.8207999999</v>
      </c>
      <c r="T428" s="19" t="s">
        <v>5687</v>
      </c>
      <c r="U428" s="19">
        <v>8497</v>
      </c>
      <c r="V428" s="115">
        <v>1739.5531579999999</v>
      </c>
      <c r="W428" s="115">
        <f t="shared" si="97"/>
        <v>14780983.183526</v>
      </c>
      <c r="X428" s="263" t="s">
        <v>5114</v>
      </c>
      <c r="AH428" s="20">
        <v>142</v>
      </c>
      <c r="AI428" s="20" t="s">
        <v>5366</v>
      </c>
      <c r="AJ428" s="115">
        <v>400000</v>
      </c>
      <c r="AK428" s="20">
        <v>0</v>
      </c>
      <c r="AL428" s="20">
        <f t="shared" si="100"/>
        <v>392</v>
      </c>
      <c r="AM428" s="20">
        <f t="shared" si="101"/>
        <v>156800000</v>
      </c>
      <c r="AN428" s="20"/>
    </row>
    <row r="429" spans="17:45" ht="30">
      <c r="Q429" s="97" t="s">
        <v>5544</v>
      </c>
      <c r="R429" s="93">
        <v>7510131.0216000006</v>
      </c>
      <c r="T429" s="284" t="s">
        <v>5690</v>
      </c>
      <c r="U429" s="284">
        <v>163820</v>
      </c>
      <c r="V429" s="88">
        <v>1588.685326</v>
      </c>
      <c r="W429" s="88">
        <f t="shared" si="97"/>
        <v>260258430.10532001</v>
      </c>
      <c r="X429" s="299" t="s">
        <v>5693</v>
      </c>
      <c r="AH429" s="147">
        <v>143</v>
      </c>
      <c r="AI429" s="147" t="s">
        <v>5366</v>
      </c>
      <c r="AJ429" s="186">
        <v>400000</v>
      </c>
      <c r="AK429" s="147">
        <v>35</v>
      </c>
      <c r="AL429" s="147">
        <f t="shared" si="100"/>
        <v>392</v>
      </c>
      <c r="AM429" s="147">
        <f t="shared" si="101"/>
        <v>156800000</v>
      </c>
      <c r="AN429" s="147"/>
    </row>
    <row r="430" spans="17:45">
      <c r="Q430" s="97" t="s">
        <v>5553</v>
      </c>
      <c r="R430" s="93">
        <v>7278025.5327000003</v>
      </c>
      <c r="T430" s="19" t="s">
        <v>5690</v>
      </c>
      <c r="U430" s="19">
        <v>11207</v>
      </c>
      <c r="V430" s="115">
        <v>1588.685326</v>
      </c>
      <c r="W430" s="115">
        <f t="shared" si="97"/>
        <v>17804396.448481999</v>
      </c>
      <c r="X430" s="263" t="s">
        <v>5114</v>
      </c>
      <c r="Y430" t="s">
        <v>25</v>
      </c>
      <c r="Z430" t="s">
        <v>25</v>
      </c>
      <c r="AH430" s="20">
        <v>144</v>
      </c>
      <c r="AI430" s="20" t="s">
        <v>5400</v>
      </c>
      <c r="AJ430" s="115">
        <v>3000000</v>
      </c>
      <c r="AK430" s="20">
        <v>0</v>
      </c>
      <c r="AL430" s="20">
        <f t="shared" si="100"/>
        <v>357</v>
      </c>
      <c r="AM430" s="20">
        <f t="shared" si="101"/>
        <v>1071000000</v>
      </c>
      <c r="AN430" s="20"/>
    </row>
    <row r="431" spans="17:45">
      <c r="Q431" s="97" t="s">
        <v>5558</v>
      </c>
      <c r="R431" s="93">
        <v>195059.35799999998</v>
      </c>
      <c r="T431" s="19" t="s">
        <v>5694</v>
      </c>
      <c r="U431" s="19">
        <v>7198</v>
      </c>
      <c r="V431" s="115">
        <v>1602.9918909999999</v>
      </c>
      <c r="W431" s="115">
        <f t="shared" si="97"/>
        <v>11538335.631417999</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5560</v>
      </c>
      <c r="R432" s="93">
        <v>862577.83200000005</v>
      </c>
      <c r="T432" s="19" t="s">
        <v>5695</v>
      </c>
      <c r="U432" s="19">
        <v>7804</v>
      </c>
      <c r="V432" s="115">
        <v>1592.7111440000001</v>
      </c>
      <c r="W432" s="115">
        <f t="shared" si="97"/>
        <v>12429517.767776001</v>
      </c>
      <c r="X432" s="263" t="s">
        <v>5114</v>
      </c>
      <c r="Z432" t="s">
        <v>25</v>
      </c>
      <c r="AH432" s="147">
        <v>146</v>
      </c>
      <c r="AI432" s="147" t="s">
        <v>5298</v>
      </c>
      <c r="AJ432" s="186">
        <v>-8644090</v>
      </c>
      <c r="AK432" s="147">
        <v>0</v>
      </c>
      <c r="AL432" s="147">
        <f t="shared" si="102"/>
        <v>338</v>
      </c>
      <c r="AM432" s="147">
        <f t="shared" si="103"/>
        <v>-2921702420</v>
      </c>
      <c r="AN432" s="147" t="s">
        <v>4737</v>
      </c>
    </row>
    <row r="433" spans="17:45">
      <c r="Q433" s="97" t="s">
        <v>5561</v>
      </c>
      <c r="R433" s="93">
        <v>920308.446</v>
      </c>
      <c r="T433" s="19" t="s">
        <v>5703</v>
      </c>
      <c r="U433" s="19">
        <v>2827</v>
      </c>
      <c r="V433" s="115">
        <v>1779.6874809999999</v>
      </c>
      <c r="W433" s="115">
        <f t="shared" si="97"/>
        <v>5031176.5087869996</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5563</v>
      </c>
      <c r="R434" s="93">
        <v>4635809.8416840006</v>
      </c>
      <c r="S434" t="s">
        <v>25</v>
      </c>
      <c r="T434" s="19" t="s">
        <v>5705</v>
      </c>
      <c r="U434" s="19">
        <v>3385</v>
      </c>
      <c r="V434" s="115">
        <v>2015.5993820000001</v>
      </c>
      <c r="W434" s="115">
        <f t="shared" si="97"/>
        <v>6822803.9080700008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5592</v>
      </c>
      <c r="R435" s="93">
        <v>288892.40000000002</v>
      </c>
      <c r="T435" s="19" t="s">
        <v>5709</v>
      </c>
      <c r="U435" s="19">
        <v>158</v>
      </c>
      <c r="V435" s="115">
        <v>2094.2388179999998</v>
      </c>
      <c r="W435" s="115">
        <f t="shared" si="97"/>
        <v>330889.73324399994</v>
      </c>
      <c r="X435" s="263" t="s">
        <v>5114</v>
      </c>
      <c r="Y435" t="s">
        <v>25</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5593</v>
      </c>
      <c r="R436" s="93">
        <v>58508002.009000003</v>
      </c>
      <c r="T436" s="19" t="s">
        <v>965</v>
      </c>
      <c r="U436" s="19">
        <v>5033</v>
      </c>
      <c r="V436" s="115">
        <v>2229.4976999999999</v>
      </c>
      <c r="W436" s="115">
        <f t="shared" si="97"/>
        <v>11221061.924099999</v>
      </c>
      <c r="X436" s="263" t="s">
        <v>5714</v>
      </c>
      <c r="Z436" t="s">
        <v>25</v>
      </c>
      <c r="AH436" s="20">
        <v>150</v>
      </c>
      <c r="AI436" s="20" t="s">
        <v>5442</v>
      </c>
      <c r="AJ436" s="115">
        <v>1600000</v>
      </c>
      <c r="AK436" s="20">
        <v>1</v>
      </c>
      <c r="AL436" s="20">
        <f t="shared" si="104"/>
        <v>322</v>
      </c>
      <c r="AM436" s="20">
        <f t="shared" si="105"/>
        <v>515200000</v>
      </c>
      <c r="AN436" s="20"/>
    </row>
    <row r="437" spans="17:45">
      <c r="Q437" s="97" t="s">
        <v>5595</v>
      </c>
      <c r="R437" s="93">
        <v>2245515.5410799999</v>
      </c>
      <c r="T437" s="19" t="s">
        <v>5718</v>
      </c>
      <c r="U437" s="19">
        <v>2870</v>
      </c>
      <c r="V437" s="115">
        <v>2303.2467459999998</v>
      </c>
      <c r="W437" s="115">
        <f t="shared" si="97"/>
        <v>6610318.1610199995</v>
      </c>
      <c r="X437" s="263" t="s">
        <v>5114</v>
      </c>
      <c r="AH437" s="147">
        <v>151</v>
      </c>
      <c r="AI437" s="147" t="s">
        <v>5445</v>
      </c>
      <c r="AJ437" s="186">
        <v>600000</v>
      </c>
      <c r="AK437" s="147">
        <v>0</v>
      </c>
      <c r="AL437" s="147">
        <f t="shared" si="104"/>
        <v>321</v>
      </c>
      <c r="AM437" s="147">
        <f t="shared" si="105"/>
        <v>192600000</v>
      </c>
      <c r="AN437" s="147" t="s">
        <v>5447</v>
      </c>
    </row>
    <row r="438" spans="17:45">
      <c r="Q438" s="97" t="s">
        <v>5595</v>
      </c>
      <c r="R438" s="93">
        <v>18404699.3442</v>
      </c>
      <c r="T438" s="19" t="s">
        <v>5719</v>
      </c>
      <c r="U438" s="19">
        <v>307</v>
      </c>
      <c r="V438" s="115">
        <v>2315.0266360000001</v>
      </c>
      <c r="W438" s="115">
        <f t="shared" si="97"/>
        <v>710713.17725199996</v>
      </c>
      <c r="X438" s="263" t="s">
        <v>5114</v>
      </c>
      <c r="AH438" s="20">
        <v>152</v>
      </c>
      <c r="AI438" s="20" t="s">
        <v>5445</v>
      </c>
      <c r="AJ438" s="115">
        <v>600000</v>
      </c>
      <c r="AK438" s="20">
        <v>9</v>
      </c>
      <c r="AL438" s="20">
        <f>AK438+AL439</f>
        <v>321</v>
      </c>
      <c r="AM438" s="20">
        <f t="shared" si="105"/>
        <v>192600000</v>
      </c>
      <c r="AN438" s="20" t="s">
        <v>5447</v>
      </c>
    </row>
    <row r="439" spans="17:45" ht="30">
      <c r="Q439" s="97" t="s">
        <v>5598</v>
      </c>
      <c r="R439" s="93">
        <v>48684800</v>
      </c>
      <c r="S439" t="s">
        <v>25</v>
      </c>
      <c r="T439" s="19" t="s">
        <v>5721</v>
      </c>
      <c r="U439" s="19">
        <v>35</v>
      </c>
      <c r="V439" s="115">
        <v>2315</v>
      </c>
      <c r="W439" s="115">
        <f t="shared" si="97"/>
        <v>81025</v>
      </c>
      <c r="X439" s="263" t="s">
        <v>5723</v>
      </c>
      <c r="Y439" s="112"/>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5600</v>
      </c>
      <c r="R440" s="93">
        <v>2264658.5922190002</v>
      </c>
      <c r="T440" s="19" t="s">
        <v>5724</v>
      </c>
      <c r="U440" s="19">
        <v>94</v>
      </c>
      <c r="V440" s="115">
        <v>2337.1980119999998</v>
      </c>
      <c r="W440" s="115">
        <f t="shared" si="97"/>
        <v>219696.613128</v>
      </c>
      <c r="X440" s="263" t="s">
        <v>5114</v>
      </c>
      <c r="Y440" t="s">
        <v>25</v>
      </c>
      <c r="Z440" t="s">
        <v>25</v>
      </c>
      <c r="AH440" s="20">
        <v>154</v>
      </c>
      <c r="AI440" s="20" t="s">
        <v>5495</v>
      </c>
      <c r="AJ440" s="115">
        <v>-46183500</v>
      </c>
      <c r="AK440" s="20">
        <v>0</v>
      </c>
      <c r="AL440" s="20">
        <f t="shared" si="106"/>
        <v>289</v>
      </c>
      <c r="AM440" s="20">
        <f t="shared" si="107"/>
        <v>-13347031500</v>
      </c>
      <c r="AN440" s="20" t="s">
        <v>4865</v>
      </c>
    </row>
    <row r="441" spans="17:45">
      <c r="Q441" s="97" t="s">
        <v>5603</v>
      </c>
      <c r="R441" s="93">
        <v>22877413.789960001</v>
      </c>
      <c r="T441" s="19" t="s">
        <v>5725</v>
      </c>
      <c r="U441" s="19">
        <v>2534</v>
      </c>
      <c r="V441" s="115">
        <v>2381.7965300000001</v>
      </c>
      <c r="W441" s="115">
        <f t="shared" si="97"/>
        <v>6035472.4070199998</v>
      </c>
      <c r="X441" s="263" t="s">
        <v>5114</v>
      </c>
      <c r="AH441" s="147">
        <v>155</v>
      </c>
      <c r="AI441" s="147" t="s">
        <v>5495</v>
      </c>
      <c r="AJ441" s="186">
        <v>-1812800</v>
      </c>
      <c r="AK441" s="147">
        <v>2</v>
      </c>
      <c r="AL441" s="147">
        <f>AK441+AL442</f>
        <v>289</v>
      </c>
      <c r="AM441" s="147">
        <f t="shared" si="107"/>
        <v>-523899200</v>
      </c>
      <c r="AN441" s="147" t="s">
        <v>4865</v>
      </c>
    </row>
    <row r="442" spans="17:45">
      <c r="Q442" s="97" t="s">
        <v>5604</v>
      </c>
      <c r="R442" s="93">
        <v>2362539.4373280001</v>
      </c>
      <c r="T442" s="19" t="s">
        <v>5727</v>
      </c>
      <c r="U442" s="19">
        <v>424</v>
      </c>
      <c r="V442" s="115">
        <v>2321.9017680000002</v>
      </c>
      <c r="W442" s="115">
        <f t="shared" si="97"/>
        <v>984486.34963200008</v>
      </c>
      <c r="X442" s="263" t="s">
        <v>5114</v>
      </c>
      <c r="Z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5605</v>
      </c>
      <c r="R443" s="93">
        <v>16042676.656608</v>
      </c>
      <c r="T443" s="187" t="s">
        <v>5729</v>
      </c>
      <c r="U443" s="187">
        <v>-32</v>
      </c>
      <c r="V443" s="186">
        <v>2221.2123710000001</v>
      </c>
      <c r="W443" s="186">
        <f t="shared" si="97"/>
        <v>-71078.795872000002</v>
      </c>
      <c r="X443" s="262" t="s">
        <v>5733</v>
      </c>
      <c r="AH443" s="147">
        <v>157</v>
      </c>
      <c r="AI443" s="147" t="s">
        <v>5499</v>
      </c>
      <c r="AJ443" s="186">
        <v>60000</v>
      </c>
      <c r="AK443" s="147">
        <v>5</v>
      </c>
      <c r="AL443" s="147">
        <f t="shared" si="108"/>
        <v>287</v>
      </c>
      <c r="AM443" s="147">
        <f t="shared" si="109"/>
        <v>17220000</v>
      </c>
      <c r="AN443" s="147"/>
    </row>
    <row r="444" spans="17:45">
      <c r="Q444" s="97" t="s">
        <v>5608</v>
      </c>
      <c r="R444" s="93">
        <v>18403291.448284</v>
      </c>
      <c r="T444" s="19" t="s">
        <v>5729</v>
      </c>
      <c r="U444" s="19">
        <v>157</v>
      </c>
      <c r="V444" s="115">
        <v>2221.2123710000001</v>
      </c>
      <c r="W444" s="115">
        <f t="shared" si="97"/>
        <v>348730.34224700002</v>
      </c>
      <c r="X444" s="263" t="s">
        <v>5734</v>
      </c>
      <c r="AH444" s="20">
        <v>158</v>
      </c>
      <c r="AI444" s="20" t="s">
        <v>5504</v>
      </c>
      <c r="AJ444" s="115">
        <v>50000000</v>
      </c>
      <c r="AK444" s="20">
        <v>29</v>
      </c>
      <c r="AL444" s="20">
        <f t="shared" si="108"/>
        <v>282</v>
      </c>
      <c r="AM444" s="20">
        <f t="shared" si="109"/>
        <v>14100000000</v>
      </c>
      <c r="AN444" s="20" t="s">
        <v>5506</v>
      </c>
      <c r="AR444" t="s">
        <v>25</v>
      </c>
    </row>
    <row r="445" spans="17:45">
      <c r="Q445" s="97" t="s">
        <v>5609</v>
      </c>
      <c r="R445" s="93">
        <v>10561447.246918</v>
      </c>
      <c r="T445" s="19" t="s">
        <v>5729</v>
      </c>
      <c r="U445" s="19">
        <v>965</v>
      </c>
      <c r="V445" s="115">
        <v>2221.2123710000001</v>
      </c>
      <c r="W445" s="115">
        <f t="shared" si="97"/>
        <v>2143469.938015</v>
      </c>
      <c r="X445" s="263" t="s">
        <v>5114</v>
      </c>
      <c r="AH445" s="20">
        <v>159</v>
      </c>
      <c r="AI445" s="20" t="s">
        <v>5563</v>
      </c>
      <c r="AJ445" s="115">
        <v>100000</v>
      </c>
      <c r="AK445" s="20">
        <v>1</v>
      </c>
      <c r="AL445" s="20">
        <f t="shared" si="108"/>
        <v>253</v>
      </c>
      <c r="AM445" s="20">
        <f t="shared" si="109"/>
        <v>25300000</v>
      </c>
      <c r="AN445" s="20"/>
    </row>
    <row r="446" spans="17:45">
      <c r="Q446" s="97" t="s">
        <v>5610</v>
      </c>
      <c r="R446" s="93">
        <v>1226811.9176660001</v>
      </c>
      <c r="T446" s="187" t="s">
        <v>5736</v>
      </c>
      <c r="U446" s="187">
        <v>596</v>
      </c>
      <c r="V446" s="186">
        <v>2180.6765719999999</v>
      </c>
      <c r="W446" s="186">
        <f t="shared" si="97"/>
        <v>1299683.236912</v>
      </c>
      <c r="X446" s="262" t="s">
        <v>1071</v>
      </c>
      <c r="Y446" t="s">
        <v>25</v>
      </c>
      <c r="AH446" s="147">
        <v>160</v>
      </c>
      <c r="AI446" s="147" t="s">
        <v>5552</v>
      </c>
      <c r="AJ446" s="186">
        <v>150000</v>
      </c>
      <c r="AK446" s="147">
        <v>0</v>
      </c>
      <c r="AL446" s="147">
        <f t="shared" si="108"/>
        <v>252</v>
      </c>
      <c r="AM446" s="147">
        <f t="shared" si="109"/>
        <v>37800000</v>
      </c>
      <c r="AN446" s="147"/>
      <c r="AQ446" t="s">
        <v>25</v>
      </c>
    </row>
    <row r="447" spans="17:45">
      <c r="Q447" s="97" t="s">
        <v>5615</v>
      </c>
      <c r="R447" s="93">
        <v>39373959.190266006</v>
      </c>
      <c r="T447" s="19" t="s">
        <v>5741</v>
      </c>
      <c r="U447" s="19">
        <v>1355</v>
      </c>
      <c r="V447" s="115">
        <v>2277.0926330000002</v>
      </c>
      <c r="W447" s="115">
        <f t="shared" si="97"/>
        <v>3085460.5177150001</v>
      </c>
      <c r="X447" s="263" t="s">
        <v>5114</v>
      </c>
      <c r="AH447" s="20">
        <v>161</v>
      </c>
      <c r="AI447" s="20" t="s">
        <v>5552</v>
      </c>
      <c r="AJ447" s="115">
        <v>-683050</v>
      </c>
      <c r="AK447" s="20">
        <v>7</v>
      </c>
      <c r="AL447" s="20">
        <f t="shared" si="108"/>
        <v>252</v>
      </c>
      <c r="AM447" s="20">
        <f t="shared" si="109"/>
        <v>-172128600</v>
      </c>
      <c r="AN447" s="20" t="s">
        <v>5566</v>
      </c>
    </row>
    <row r="448" spans="17:45">
      <c r="Q448" s="97" t="s">
        <v>5616</v>
      </c>
      <c r="R448" s="93">
        <v>27703487.063980002</v>
      </c>
      <c r="T448" s="19" t="s">
        <v>5743</v>
      </c>
      <c r="U448" s="19">
        <v>3742</v>
      </c>
      <c r="V448" s="115">
        <v>2207.7650429999999</v>
      </c>
      <c r="W448" s="115">
        <f t="shared" si="97"/>
        <v>8261456.790906</v>
      </c>
      <c r="X448" s="263" t="s">
        <v>5114</v>
      </c>
      <c r="Y448" t="s">
        <v>25</v>
      </c>
      <c r="AH448" s="147">
        <v>162</v>
      </c>
      <c r="AI448" s="147" t="s">
        <v>5574</v>
      </c>
      <c r="AJ448" s="186">
        <v>200000</v>
      </c>
      <c r="AK448" s="147">
        <v>7</v>
      </c>
      <c r="AL448" s="147">
        <f t="shared" si="108"/>
        <v>245</v>
      </c>
      <c r="AM448" s="147">
        <f t="shared" si="109"/>
        <v>49000000</v>
      </c>
      <c r="AN448" s="147"/>
    </row>
    <row r="449" spans="17:44">
      <c r="Q449" s="97" t="s">
        <v>4185</v>
      </c>
      <c r="R449" s="93">
        <v>8738896.6890719999</v>
      </c>
      <c r="T449" s="19" t="s">
        <v>5745</v>
      </c>
      <c r="U449" s="19">
        <v>3216</v>
      </c>
      <c r="V449" s="115">
        <v>2043.648557</v>
      </c>
      <c r="W449" s="115">
        <f t="shared" si="97"/>
        <v>6572373.7593120001</v>
      </c>
      <c r="X449" s="263" t="s">
        <v>5114</v>
      </c>
      <c r="AH449" s="147">
        <v>163</v>
      </c>
      <c r="AI449" s="147" t="s">
        <v>5579</v>
      </c>
      <c r="AJ449" s="186">
        <v>150000</v>
      </c>
      <c r="AK449" s="147">
        <v>5</v>
      </c>
      <c r="AL449" s="147">
        <f t="shared" si="108"/>
        <v>238</v>
      </c>
      <c r="AM449" s="147">
        <f t="shared" si="109"/>
        <v>35700000</v>
      </c>
      <c r="AN449" s="147"/>
      <c r="AR449" t="s">
        <v>25</v>
      </c>
    </row>
    <row r="450" spans="17:44">
      <c r="Q450" s="97" t="s">
        <v>5618</v>
      </c>
      <c r="R450" s="93">
        <v>348201.66738</v>
      </c>
      <c r="T450" s="187" t="s">
        <v>5748</v>
      </c>
      <c r="U450" s="187">
        <v>42393</v>
      </c>
      <c r="V450" s="186">
        <v>2124.4852740000001</v>
      </c>
      <c r="W450" s="186">
        <f t="shared" si="97"/>
        <v>90063304.22068201</v>
      </c>
      <c r="X450" s="262" t="s">
        <v>5749</v>
      </c>
      <c r="Y450" t="s">
        <v>25</v>
      </c>
      <c r="AH450" s="20">
        <v>164</v>
      </c>
      <c r="AI450" s="20" t="s">
        <v>5583</v>
      </c>
      <c r="AJ450" s="115">
        <v>320000</v>
      </c>
      <c r="AK450" s="20">
        <v>2</v>
      </c>
      <c r="AL450" s="20">
        <f t="shared" si="108"/>
        <v>233</v>
      </c>
      <c r="AM450" s="20">
        <f t="shared" si="109"/>
        <v>74560000</v>
      </c>
      <c r="AN450" s="20"/>
    </row>
    <row r="451" spans="17:44">
      <c r="Q451" s="97" t="s">
        <v>5622</v>
      </c>
      <c r="R451" s="93">
        <v>4158090.8935679998</v>
      </c>
      <c r="T451" s="19" t="s">
        <v>5750</v>
      </c>
      <c r="U451" s="19">
        <v>1307</v>
      </c>
      <c r="V451" s="115">
        <v>2213.652313</v>
      </c>
      <c r="W451" s="115">
        <f t="shared" si="97"/>
        <v>2893243.5730909999</v>
      </c>
      <c r="X451" s="263" t="s">
        <v>5114</v>
      </c>
      <c r="AF451" s="94" t="s">
        <v>25</v>
      </c>
      <c r="AH451" s="20">
        <v>165</v>
      </c>
      <c r="AI451" s="20" t="s">
        <v>5584</v>
      </c>
      <c r="AJ451" s="115">
        <v>200000</v>
      </c>
      <c r="AK451" s="20">
        <v>29</v>
      </c>
      <c r="AL451" s="20">
        <f t="shared" si="108"/>
        <v>231</v>
      </c>
      <c r="AM451" s="20">
        <f t="shared" si="109"/>
        <v>46200000</v>
      </c>
      <c r="AN451" s="20"/>
    </row>
    <row r="452" spans="17:44">
      <c r="Q452" s="97" t="s">
        <v>5619</v>
      </c>
      <c r="R452" s="93">
        <v>110770524.97879399</v>
      </c>
      <c r="T452" s="19" t="s">
        <v>5752</v>
      </c>
      <c r="U452" s="19">
        <v>44079</v>
      </c>
      <c r="V452" s="115">
        <v>2155.0411519999998</v>
      </c>
      <c r="W452" s="115">
        <f t="shared" si="97"/>
        <v>94992058.939007998</v>
      </c>
      <c r="X452" s="263" t="s">
        <v>5114</v>
      </c>
      <c r="Y452" t="s">
        <v>25</v>
      </c>
      <c r="Z452" t="s">
        <v>25</v>
      </c>
      <c r="AH452" s="20">
        <v>166</v>
      </c>
      <c r="AI452" s="20" t="s">
        <v>5619</v>
      </c>
      <c r="AJ452" s="115">
        <v>4200000</v>
      </c>
      <c r="AK452" s="20">
        <v>0</v>
      </c>
      <c r="AL452" s="20">
        <f t="shared" si="108"/>
        <v>202</v>
      </c>
      <c r="AM452" s="20">
        <f t="shared" si="109"/>
        <v>848400000</v>
      </c>
      <c r="AN452" s="20"/>
    </row>
    <row r="453" spans="17:44">
      <c r="Q453" s="97" t="s">
        <v>5622</v>
      </c>
      <c r="R453" s="93">
        <v>17900000</v>
      </c>
      <c r="T453" s="19" t="s">
        <v>5758</v>
      </c>
      <c r="U453" s="19">
        <v>131</v>
      </c>
      <c r="V453" s="115">
        <v>2099.4040150000001</v>
      </c>
      <c r="W453" s="115">
        <f t="shared" si="97"/>
        <v>275021.925965</v>
      </c>
      <c r="X453" s="263" t="s">
        <v>5114</v>
      </c>
      <c r="Y453" t="s">
        <v>25</v>
      </c>
      <c r="AH453" s="147">
        <v>167</v>
      </c>
      <c r="AI453" s="147" t="s">
        <v>5619</v>
      </c>
      <c r="AJ453" s="186">
        <v>3300000</v>
      </c>
      <c r="AK453" s="147">
        <v>11</v>
      </c>
      <c r="AL453" s="147">
        <f t="shared" si="108"/>
        <v>202</v>
      </c>
      <c r="AM453" s="147">
        <f t="shared" si="109"/>
        <v>666600000</v>
      </c>
      <c r="AN453" s="147"/>
    </row>
    <row r="454" spans="17:44">
      <c r="Q454" s="97" t="s">
        <v>5634</v>
      </c>
      <c r="R454" s="93">
        <v>12114824.927374</v>
      </c>
      <c r="T454" s="19" t="s">
        <v>5765</v>
      </c>
      <c r="U454" s="19">
        <v>162</v>
      </c>
      <c r="V454" s="115">
        <v>2021.3081500000001</v>
      </c>
      <c r="W454" s="115">
        <f t="shared" si="97"/>
        <v>327451.9203</v>
      </c>
      <c r="X454" s="263" t="s">
        <v>5114</v>
      </c>
      <c r="Z454" t="s">
        <v>25</v>
      </c>
      <c r="AH454" s="147">
        <v>168</v>
      </c>
      <c r="AI454" s="147" t="s">
        <v>5643</v>
      </c>
      <c r="AJ454" s="186">
        <v>-1500000</v>
      </c>
      <c r="AK454" s="147">
        <v>42</v>
      </c>
      <c r="AL454" s="147">
        <f t="shared" si="108"/>
        <v>191</v>
      </c>
      <c r="AM454" s="147">
        <f t="shared" si="109"/>
        <v>-286500000</v>
      </c>
      <c r="AN454" s="147"/>
    </row>
    <row r="455" spans="17:44">
      <c r="Q455" s="97" t="s">
        <v>5637</v>
      </c>
      <c r="R455" s="93">
        <v>6684147.0064600008</v>
      </c>
      <c r="T455" s="19" t="s">
        <v>5777</v>
      </c>
      <c r="U455" s="19">
        <v>131</v>
      </c>
      <c r="V455" s="115">
        <v>1985.358328</v>
      </c>
      <c r="W455" s="115">
        <f t="shared" si="97"/>
        <v>260081.94096800001</v>
      </c>
      <c r="X455" s="263" t="s">
        <v>5114</v>
      </c>
      <c r="Z455" t="s">
        <v>25</v>
      </c>
      <c r="AH455" s="20">
        <v>169</v>
      </c>
      <c r="AI455" s="20" t="s">
        <v>5690</v>
      </c>
      <c r="AJ455" s="115">
        <v>260000</v>
      </c>
      <c r="AK455" s="20">
        <v>22</v>
      </c>
      <c r="AL455" s="20">
        <f t="shared" si="108"/>
        <v>149</v>
      </c>
      <c r="AM455" s="20">
        <f t="shared" si="109"/>
        <v>38740000</v>
      </c>
      <c r="AN455" s="20"/>
    </row>
    <row r="456" spans="17:44">
      <c r="Q456" s="97" t="s">
        <v>5641</v>
      </c>
      <c r="R456" s="93">
        <v>1826535.2307560001</v>
      </c>
      <c r="T456" s="19" t="s">
        <v>5787</v>
      </c>
      <c r="U456" s="19">
        <v>1449</v>
      </c>
      <c r="V456" s="115">
        <v>2007.787806</v>
      </c>
      <c r="W456" s="115">
        <f t="shared" si="97"/>
        <v>2909284.5308940001</v>
      </c>
      <c r="X456" s="263" t="s">
        <v>5114</v>
      </c>
      <c r="Z456" t="s">
        <v>25</v>
      </c>
      <c r="AH456" s="20">
        <v>170</v>
      </c>
      <c r="AI456" s="20" t="s">
        <v>5719</v>
      </c>
      <c r="AJ456" s="115">
        <v>20000</v>
      </c>
      <c r="AK456" s="20">
        <v>0</v>
      </c>
      <c r="AL456" s="20">
        <f t="shared" si="108"/>
        <v>127</v>
      </c>
      <c r="AM456" s="20">
        <f t="shared" si="109"/>
        <v>2540000</v>
      </c>
      <c r="AN456" s="20"/>
    </row>
    <row r="457" spans="17:44">
      <c r="Q457" s="97" t="s">
        <v>5643</v>
      </c>
      <c r="R457" s="93">
        <v>3577366.94</v>
      </c>
      <c r="T457" s="19" t="s">
        <v>5788</v>
      </c>
      <c r="U457" s="19">
        <v>19028</v>
      </c>
      <c r="V457" s="115">
        <v>1982.5102529999999</v>
      </c>
      <c r="W457" s="115">
        <f t="shared" si="97"/>
        <v>37723205.094084002</v>
      </c>
      <c r="X457" s="263" t="s">
        <v>5114</v>
      </c>
      <c r="Y457" t="s">
        <v>25</v>
      </c>
      <c r="Z457" t="s">
        <v>25</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5647</v>
      </c>
      <c r="R458" s="93">
        <v>21239029.173567999</v>
      </c>
      <c r="T458" s="19" t="s">
        <v>5789</v>
      </c>
      <c r="U458" s="19">
        <v>848</v>
      </c>
      <c r="V458" s="115">
        <v>1768.97966</v>
      </c>
      <c r="W458" s="115">
        <f t="shared" si="97"/>
        <v>1500094.75168</v>
      </c>
      <c r="X458" s="263" t="s">
        <v>5114</v>
      </c>
      <c r="AH458" s="147">
        <v>172</v>
      </c>
      <c r="AI458" s="147" t="s">
        <v>5729</v>
      </c>
      <c r="AJ458" s="186">
        <v>70000</v>
      </c>
      <c r="AK458" s="147">
        <v>0</v>
      </c>
      <c r="AL458" s="147">
        <f t="shared" si="110"/>
        <v>120</v>
      </c>
      <c r="AM458" s="147">
        <f t="shared" si="111"/>
        <v>8400000</v>
      </c>
      <c r="AN458" s="147"/>
    </row>
    <row r="459" spans="17:44">
      <c r="Q459" s="97" t="s">
        <v>5652</v>
      </c>
      <c r="R459" s="93">
        <v>242957252.40163299</v>
      </c>
      <c r="T459" s="19" t="s">
        <v>5790</v>
      </c>
      <c r="U459" s="19">
        <v>3824</v>
      </c>
      <c r="V459" s="115">
        <v>1890.8547169999999</v>
      </c>
      <c r="W459" s="115">
        <f t="shared" si="97"/>
        <v>7230628.4378079996</v>
      </c>
      <c r="X459" s="263" t="s">
        <v>5114</v>
      </c>
      <c r="AH459" s="20">
        <v>173</v>
      </c>
      <c r="AI459" s="20" t="s">
        <v>5729</v>
      </c>
      <c r="AJ459" s="115">
        <v>70000</v>
      </c>
      <c r="AK459" s="20">
        <v>1</v>
      </c>
      <c r="AL459" s="20">
        <f t="shared" si="110"/>
        <v>120</v>
      </c>
      <c r="AM459" s="20">
        <f t="shared" si="111"/>
        <v>8400000</v>
      </c>
      <c r="AN459" s="20"/>
    </row>
    <row r="460" spans="17:44">
      <c r="Q460" s="97" t="s">
        <v>5653</v>
      </c>
      <c r="R460" s="93">
        <v>7357181.2750800001</v>
      </c>
      <c r="T460" s="19" t="s">
        <v>5792</v>
      </c>
      <c r="U460" s="19">
        <v>14010</v>
      </c>
      <c r="V460" s="115">
        <v>2124.7244390000001</v>
      </c>
      <c r="W460" s="115">
        <f t="shared" si="97"/>
        <v>29767389.390390001</v>
      </c>
      <c r="X460" s="263" t="s">
        <v>5114</v>
      </c>
      <c r="AA460" t="s">
        <v>25</v>
      </c>
      <c r="AH460" s="20">
        <v>174</v>
      </c>
      <c r="AI460" s="20" t="s">
        <v>5736</v>
      </c>
      <c r="AJ460" s="115">
        <v>330000</v>
      </c>
      <c r="AK460" s="20">
        <v>0</v>
      </c>
      <c r="AL460" s="20">
        <f t="shared" si="110"/>
        <v>119</v>
      </c>
      <c r="AM460" s="20">
        <f t="shared" si="111"/>
        <v>39270000</v>
      </c>
      <c r="AN460" s="20"/>
    </row>
    <row r="461" spans="17:44">
      <c r="Q461" s="97" t="s">
        <v>5657</v>
      </c>
      <c r="R461" s="93">
        <v>14951411.942400001</v>
      </c>
      <c r="T461" s="19" t="s">
        <v>5793</v>
      </c>
      <c r="U461" s="19">
        <v>73</v>
      </c>
      <c r="V461" s="115">
        <v>2076.1678900000002</v>
      </c>
      <c r="W461" s="115">
        <f t="shared" si="97"/>
        <v>151560.25597</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5659</v>
      </c>
      <c r="R462" s="93">
        <v>47928209.377011999</v>
      </c>
      <c r="T462" s="19" t="s">
        <v>5795</v>
      </c>
      <c r="U462" s="19">
        <v>236</v>
      </c>
      <c r="V462" s="115">
        <v>2039.4867830000001</v>
      </c>
      <c r="W462" s="115">
        <f t="shared" si="97"/>
        <v>481318.88078800001</v>
      </c>
      <c r="X462" s="263" t="s">
        <v>5114</v>
      </c>
      <c r="AH462" s="147">
        <v>176</v>
      </c>
      <c r="AI462" s="147" t="s">
        <v>5748</v>
      </c>
      <c r="AJ462" s="186">
        <v>90000000</v>
      </c>
      <c r="AK462" s="147">
        <v>16</v>
      </c>
      <c r="AL462" s="147">
        <f t="shared" si="112"/>
        <v>109</v>
      </c>
      <c r="AM462" s="147">
        <f t="shared" si="113"/>
        <v>9810000000</v>
      </c>
      <c r="AN462" s="147"/>
    </row>
    <row r="463" spans="17:44">
      <c r="Q463" s="97" t="s">
        <v>5661</v>
      </c>
      <c r="R463" s="93">
        <v>2281595.69937</v>
      </c>
      <c r="T463" s="19" t="s">
        <v>5798</v>
      </c>
      <c r="U463" s="19">
        <v>75</v>
      </c>
      <c r="V463" s="115">
        <v>1950.3675760000001</v>
      </c>
      <c r="W463" s="115">
        <f t="shared" si="97"/>
        <v>146277.56820000001</v>
      </c>
      <c r="X463" s="263" t="s">
        <v>5114</v>
      </c>
      <c r="AH463" s="147">
        <v>177</v>
      </c>
      <c r="AI463" s="147" t="s">
        <v>5775</v>
      </c>
      <c r="AJ463" s="186">
        <v>-15000000</v>
      </c>
      <c r="AK463" s="147">
        <v>65</v>
      </c>
      <c r="AL463" s="147">
        <f t="shared" si="112"/>
        <v>93</v>
      </c>
      <c r="AM463" s="147">
        <f t="shared" si="113"/>
        <v>-1395000000</v>
      </c>
      <c r="AN463" s="147" t="s">
        <v>5776</v>
      </c>
    </row>
    <row r="464" spans="17:44">
      <c r="Q464" s="97" t="s">
        <v>5662</v>
      </c>
      <c r="R464" s="93">
        <v>2964916.035069</v>
      </c>
      <c r="T464" s="19" t="s">
        <v>5811</v>
      </c>
      <c r="U464" s="19">
        <v>232</v>
      </c>
      <c r="V464" s="115">
        <v>1830.5750069999999</v>
      </c>
      <c r="W464" s="115">
        <f t="shared" si="97"/>
        <v>424693.40162399999</v>
      </c>
      <c r="X464" s="263" t="s">
        <v>5114</v>
      </c>
      <c r="Y464" t="s">
        <v>25</v>
      </c>
      <c r="AH464" s="147">
        <v>178</v>
      </c>
      <c r="AI464" s="147" t="s">
        <v>5840</v>
      </c>
      <c r="AJ464" s="186">
        <v>33833075</v>
      </c>
      <c r="AK464" s="147">
        <v>0</v>
      </c>
      <c r="AL464" s="147">
        <f t="shared" si="112"/>
        <v>28</v>
      </c>
      <c r="AM464" s="147">
        <f t="shared" si="113"/>
        <v>947326100</v>
      </c>
      <c r="AN464" s="147" t="s">
        <v>5844</v>
      </c>
      <c r="AR464" t="s">
        <v>25</v>
      </c>
    </row>
    <row r="465" spans="17:45">
      <c r="Q465" s="97" t="s">
        <v>5664</v>
      </c>
      <c r="R465" s="93">
        <v>6460549.4269619994</v>
      </c>
      <c r="T465" s="19" t="s">
        <v>5814</v>
      </c>
      <c r="U465" s="19">
        <v>308</v>
      </c>
      <c r="V465" s="115">
        <v>1812.728578</v>
      </c>
      <c r="W465" s="115">
        <f t="shared" si="97"/>
        <v>558320.40202399995</v>
      </c>
      <c r="X465" s="263" t="s">
        <v>5114</v>
      </c>
      <c r="Y465" t="s">
        <v>25</v>
      </c>
      <c r="AH465" s="20">
        <v>197</v>
      </c>
      <c r="AI465" s="20" t="s">
        <v>5840</v>
      </c>
      <c r="AJ465" s="115">
        <v>20033075</v>
      </c>
      <c r="AK465" s="20">
        <v>28</v>
      </c>
      <c r="AL465" s="20">
        <f t="shared" si="112"/>
        <v>28</v>
      </c>
      <c r="AM465" s="20">
        <f t="shared" si="113"/>
        <v>560926100</v>
      </c>
      <c r="AN465" s="20" t="s">
        <v>5844</v>
      </c>
      <c r="AR465" t="s">
        <v>25</v>
      </c>
    </row>
    <row r="466" spans="17:45">
      <c r="Q466" s="97" t="s">
        <v>5667</v>
      </c>
      <c r="R466" s="93">
        <v>5212319.8968359996</v>
      </c>
      <c r="T466" s="19" t="s">
        <v>5816</v>
      </c>
      <c r="U466" s="19">
        <v>106</v>
      </c>
      <c r="V466" s="115">
        <v>1958.8888869</v>
      </c>
      <c r="W466" s="115">
        <f t="shared" si="97"/>
        <v>207642.22201140001</v>
      </c>
      <c r="X466" s="263" t="s">
        <v>5114</v>
      </c>
      <c r="AA466" t="s">
        <v>25</v>
      </c>
      <c r="AH466" s="147">
        <v>198</v>
      </c>
      <c r="AI466" s="147" t="s">
        <v>5871</v>
      </c>
      <c r="AJ466" s="186">
        <v>-22520813.151772</v>
      </c>
      <c r="AK466" s="147">
        <v>0</v>
      </c>
      <c r="AL466" s="147">
        <f>AK466+AL477</f>
        <v>0</v>
      </c>
      <c r="AM466" s="147">
        <f t="shared" si="113"/>
        <v>0</v>
      </c>
      <c r="AN466" s="147" t="s">
        <v>5881</v>
      </c>
    </row>
    <row r="467" spans="17:45">
      <c r="Q467" s="97" t="s">
        <v>5669</v>
      </c>
      <c r="R467" s="93">
        <v>4524496.4792809999</v>
      </c>
      <c r="T467" s="19" t="s">
        <v>5840</v>
      </c>
      <c r="U467" s="19">
        <v>17050</v>
      </c>
      <c r="V467" s="115">
        <v>1984.311475</v>
      </c>
      <c r="W467" s="115">
        <f t="shared" si="97"/>
        <v>33832510.64875</v>
      </c>
      <c r="X467" s="263" t="s">
        <v>5842</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5671</v>
      </c>
      <c r="R468" s="93">
        <v>22866040.240959998</v>
      </c>
      <c r="T468" s="19" t="s">
        <v>5840</v>
      </c>
      <c r="U468" s="19">
        <v>17050</v>
      </c>
      <c r="V468" s="115">
        <v>1984.311475</v>
      </c>
      <c r="W468" s="115">
        <f t="shared" si="97"/>
        <v>33832510.64875</v>
      </c>
      <c r="X468" s="263" t="s">
        <v>5843</v>
      </c>
      <c r="Y468" t="s">
        <v>25</v>
      </c>
      <c r="AH468" s="20">
        <v>200</v>
      </c>
      <c r="AI468" s="20" t="s">
        <v>5871</v>
      </c>
      <c r="AJ468" s="115">
        <v>50000000</v>
      </c>
      <c r="AK468" s="20">
        <v>1</v>
      </c>
      <c r="AL468" s="20">
        <f t="shared" si="114"/>
        <v>41</v>
      </c>
      <c r="AM468" s="20">
        <f t="shared" si="115"/>
        <v>2050000000</v>
      </c>
      <c r="AN468" s="20" t="s">
        <v>5883</v>
      </c>
    </row>
    <row r="469" spans="17:45">
      <c r="Q469" s="97" t="s">
        <v>5673</v>
      </c>
      <c r="R469" s="93">
        <v>15359304.269892</v>
      </c>
      <c r="T469" s="19" t="s">
        <v>5845</v>
      </c>
      <c r="U469" s="19">
        <v>9659</v>
      </c>
      <c r="V469" s="115">
        <v>2073.8685089999999</v>
      </c>
      <c r="W469" s="115">
        <f t="shared" si="97"/>
        <v>20031495.928431001</v>
      </c>
      <c r="X469" s="263" t="s">
        <v>5846</v>
      </c>
      <c r="Y469" t="s">
        <v>25</v>
      </c>
      <c r="AH469" s="20">
        <v>201</v>
      </c>
      <c r="AI469" s="20" t="s">
        <v>5889</v>
      </c>
      <c r="AJ469" s="115">
        <v>50000000</v>
      </c>
      <c r="AK469" s="20">
        <v>8</v>
      </c>
      <c r="AL469" s="20">
        <f t="shared" si="114"/>
        <v>40</v>
      </c>
      <c r="AM469" s="20">
        <f t="shared" si="115"/>
        <v>2000000000</v>
      </c>
      <c r="AN469" s="20" t="s">
        <v>5883</v>
      </c>
    </row>
    <row r="470" spans="17:45">
      <c r="Q470" s="97" t="s">
        <v>5674</v>
      </c>
      <c r="R470" s="93">
        <v>2868508.1846330003</v>
      </c>
      <c r="T470" s="19" t="s">
        <v>5855</v>
      </c>
      <c r="U470" s="19">
        <v>323</v>
      </c>
      <c r="V470" s="115">
        <v>1975.162028</v>
      </c>
      <c r="W470" s="115">
        <f t="shared" si="97"/>
        <v>637977.33504399995</v>
      </c>
      <c r="X470" s="263" t="s">
        <v>5114</v>
      </c>
      <c r="AH470" s="20">
        <v>202</v>
      </c>
      <c r="AI470" s="20" t="s">
        <v>6441</v>
      </c>
      <c r="AJ470" s="115">
        <v>30000000</v>
      </c>
      <c r="AK470" s="20">
        <v>2</v>
      </c>
      <c r="AL470" s="20">
        <f t="shared" si="114"/>
        <v>32</v>
      </c>
      <c r="AM470" s="20">
        <f t="shared" si="115"/>
        <v>960000000</v>
      </c>
      <c r="AN470" s="20" t="s">
        <v>6443</v>
      </c>
    </row>
    <row r="471" spans="17:45">
      <c r="Q471" s="97" t="s">
        <v>5675</v>
      </c>
      <c r="R471" s="93">
        <v>17450393.011856001</v>
      </c>
      <c r="T471" s="19" t="s">
        <v>5856</v>
      </c>
      <c r="U471" s="19">
        <v>238</v>
      </c>
      <c r="V471" s="115">
        <v>1960.303598</v>
      </c>
      <c r="W471" s="115">
        <f t="shared" si="97"/>
        <v>466552.25632400002</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5676</v>
      </c>
      <c r="R472" s="93">
        <v>31388943.254850004</v>
      </c>
      <c r="T472" s="19" t="s">
        <v>5857</v>
      </c>
      <c r="U472" s="19">
        <v>75</v>
      </c>
      <c r="V472" s="115">
        <v>1990.893174</v>
      </c>
      <c r="W472" s="115">
        <f t="shared" si="97"/>
        <v>149316.98805000001</v>
      </c>
      <c r="X472" s="263" t="s">
        <v>5858</v>
      </c>
      <c r="Z472" t="s">
        <v>25</v>
      </c>
      <c r="AH472" s="147">
        <v>204</v>
      </c>
      <c r="AI472" s="147" t="s">
        <v>6497</v>
      </c>
      <c r="AJ472" s="186">
        <v>-20000000</v>
      </c>
      <c r="AK472" s="147">
        <v>0</v>
      </c>
      <c r="AL472" s="147">
        <f t="shared" si="114"/>
        <v>1</v>
      </c>
      <c r="AM472" s="147">
        <f t="shared" si="115"/>
        <v>-20000000</v>
      </c>
      <c r="AN472" s="147" t="s">
        <v>6498</v>
      </c>
    </row>
    <row r="473" spans="17:45">
      <c r="Q473" s="97" t="s">
        <v>5678</v>
      </c>
      <c r="R473" s="93">
        <v>30912095.373174001</v>
      </c>
      <c r="T473" s="19" t="s">
        <v>5857</v>
      </c>
      <c r="U473" s="19">
        <v>95</v>
      </c>
      <c r="V473" s="115">
        <v>1990.893174</v>
      </c>
      <c r="W473" s="115">
        <f t="shared" si="97"/>
        <v>189134.85153000001</v>
      </c>
      <c r="X473" s="263" t="s">
        <v>5114</v>
      </c>
      <c r="Z473" t="s">
        <v>25</v>
      </c>
      <c r="AH473" s="147">
        <v>205</v>
      </c>
      <c r="AI473" s="147" t="s">
        <v>6497</v>
      </c>
      <c r="AJ473" s="186">
        <v>2000000</v>
      </c>
      <c r="AK473" s="147">
        <v>1</v>
      </c>
      <c r="AL473" s="147">
        <f t="shared" si="114"/>
        <v>1</v>
      </c>
      <c r="AM473" s="147">
        <f t="shared" si="115"/>
        <v>2000000</v>
      </c>
      <c r="AN473" s="147" t="s">
        <v>6499</v>
      </c>
    </row>
    <row r="474" spans="17:45">
      <c r="Q474" s="97" t="s">
        <v>5682</v>
      </c>
      <c r="R474" s="93">
        <v>19602926.115093999</v>
      </c>
      <c r="T474" s="19" t="s">
        <v>5862</v>
      </c>
      <c r="U474" s="19">
        <v>284</v>
      </c>
      <c r="V474" s="115">
        <v>1989.045169</v>
      </c>
      <c r="W474" s="115">
        <f t="shared" si="97"/>
        <v>564888.82799599995</v>
      </c>
      <c r="X474" s="263" t="s">
        <v>5114</v>
      </c>
      <c r="Z474" t="s">
        <v>25</v>
      </c>
      <c r="AH474" s="20"/>
      <c r="AI474" s="20"/>
      <c r="AJ474" s="115"/>
      <c r="AK474" s="20"/>
      <c r="AL474" s="20">
        <f t="shared" si="114"/>
        <v>0</v>
      </c>
      <c r="AM474" s="20">
        <f t="shared" si="115"/>
        <v>0</v>
      </c>
      <c r="AN474" s="20"/>
    </row>
    <row r="475" spans="17:45" ht="30">
      <c r="Q475" s="97" t="s">
        <v>5684</v>
      </c>
      <c r="R475" s="93">
        <v>34458590.308710001</v>
      </c>
      <c r="T475" s="187" t="s">
        <v>5871</v>
      </c>
      <c r="U475" s="187">
        <v>11034</v>
      </c>
      <c r="V475" s="186">
        <v>1960.6845390000001</v>
      </c>
      <c r="W475" s="186">
        <f t="shared" si="97"/>
        <v>21634193.203326002</v>
      </c>
      <c r="X475" s="262" t="s">
        <v>5877</v>
      </c>
      <c r="Z475" t="s">
        <v>25</v>
      </c>
      <c r="AH475" s="20"/>
      <c r="AI475" s="20"/>
      <c r="AJ475" s="115"/>
      <c r="AK475" s="20"/>
      <c r="AL475" s="20">
        <f t="shared" si="114"/>
        <v>0</v>
      </c>
      <c r="AM475" s="20">
        <f t="shared" si="115"/>
        <v>0</v>
      </c>
      <c r="AN475" s="20"/>
    </row>
    <row r="476" spans="17:45" ht="30">
      <c r="Q476" s="97" t="s">
        <v>5686</v>
      </c>
      <c r="R476" s="93">
        <v>21697868.203256</v>
      </c>
      <c r="T476" s="19" t="s">
        <v>5871</v>
      </c>
      <c r="U476" s="19">
        <v>4469</v>
      </c>
      <c r="V476" s="115">
        <v>1960.6845390000001</v>
      </c>
      <c r="W476" s="115">
        <f t="shared" si="97"/>
        <v>8762299.2047910001</v>
      </c>
      <c r="X476" s="263" t="s">
        <v>5878</v>
      </c>
      <c r="Z476" t="s">
        <v>25</v>
      </c>
      <c r="AH476" s="20"/>
      <c r="AI476" s="20"/>
      <c r="AJ476" s="115"/>
      <c r="AK476" s="20"/>
      <c r="AL476" s="20">
        <f t="shared" si="114"/>
        <v>0</v>
      </c>
      <c r="AM476" s="20">
        <f t="shared" si="115"/>
        <v>0</v>
      </c>
      <c r="AN476" s="20"/>
    </row>
    <row r="477" spans="17:45">
      <c r="Q477" s="97" t="s">
        <v>5687</v>
      </c>
      <c r="R477" s="93">
        <v>25340079.252110001</v>
      </c>
      <c r="T477" s="19" t="s">
        <v>5871</v>
      </c>
      <c r="U477" s="19">
        <v>-174834</v>
      </c>
      <c r="V477" s="115">
        <v>1955.271154</v>
      </c>
      <c r="W477" s="115">
        <f t="shared" si="97"/>
        <v>-341847876.93843603</v>
      </c>
      <c r="X477" s="263" t="s">
        <v>5879</v>
      </c>
      <c r="AH477" s="97"/>
      <c r="AI477" s="97"/>
      <c r="AJ477" s="115"/>
      <c r="AK477" s="97"/>
      <c r="AL477" s="20">
        <f t="shared" si="114"/>
        <v>0</v>
      </c>
      <c r="AM477" s="20">
        <f t="shared" si="115"/>
        <v>0</v>
      </c>
      <c r="AN477" s="20"/>
    </row>
    <row r="478" spans="17:45">
      <c r="Q478" s="97" t="s">
        <v>5690</v>
      </c>
      <c r="R478" s="93">
        <v>14780983.183526</v>
      </c>
      <c r="T478" s="19" t="s">
        <v>5871</v>
      </c>
      <c r="U478" s="19">
        <v>-78942</v>
      </c>
      <c r="V478" s="115">
        <v>1955.271154</v>
      </c>
      <c r="W478" s="115">
        <f t="shared" si="97"/>
        <v>-154353015.43906799</v>
      </c>
      <c r="X478" s="263" t="s">
        <v>5880</v>
      </c>
      <c r="Z478" t="s">
        <v>25</v>
      </c>
      <c r="AA478" t="s">
        <v>25</v>
      </c>
      <c r="AH478" s="97"/>
      <c r="AI478" s="97"/>
      <c r="AJ478" s="115"/>
      <c r="AK478" s="97"/>
      <c r="AL478" s="20">
        <f t="shared" si="110"/>
        <v>0</v>
      </c>
      <c r="AM478" s="20">
        <f t="shared" si="111"/>
        <v>0</v>
      </c>
      <c r="AN478" s="97"/>
    </row>
    <row r="479" spans="17:45">
      <c r="Q479" s="97" t="s">
        <v>5690</v>
      </c>
      <c r="R479" s="93">
        <v>17804396.448481999</v>
      </c>
      <c r="T479" s="187" t="s">
        <v>5871</v>
      </c>
      <c r="U479" s="187">
        <v>-11518</v>
      </c>
      <c r="V479" s="186">
        <v>1955.271154</v>
      </c>
      <c r="W479" s="186">
        <f t="shared" si="97"/>
        <v>-22520813.151772</v>
      </c>
      <c r="X479" s="262" t="s">
        <v>5881</v>
      </c>
      <c r="AH479" s="97"/>
      <c r="AI479" s="97"/>
      <c r="AJ479" s="93">
        <f>SUM(AJ287:AJ478)</f>
        <v>201792676.84822798</v>
      </c>
      <c r="AK479" s="97"/>
      <c r="AL479" s="97"/>
      <c r="AM479" s="97">
        <f>SUM(AM287:AM478)</f>
        <v>226893211969</v>
      </c>
      <c r="AN479" s="93">
        <f>AM479*AN273/31</f>
        <v>121988037.54475237</v>
      </c>
    </row>
    <row r="480" spans="17:45">
      <c r="Q480" s="97" t="s">
        <v>5694</v>
      </c>
      <c r="R480" s="93">
        <v>260260000</v>
      </c>
      <c r="T480" s="19" t="s">
        <v>5893</v>
      </c>
      <c r="U480" s="19">
        <v>8622</v>
      </c>
      <c r="V480" s="115">
        <v>1930.4022150000001</v>
      </c>
      <c r="W480" s="115">
        <f t="shared" si="97"/>
        <v>16643927.89773</v>
      </c>
      <c r="X480" s="263" t="s">
        <v>744</v>
      </c>
      <c r="Z480" t="s">
        <v>25</v>
      </c>
      <c r="AJ480" t="s">
        <v>4043</v>
      </c>
      <c r="AM480" t="s">
        <v>284</v>
      </c>
      <c r="AN480" t="s">
        <v>928</v>
      </c>
    </row>
    <row r="481" spans="17:40">
      <c r="Q481" s="97" t="s">
        <v>5695</v>
      </c>
      <c r="R481" s="93">
        <v>11538335.631417999</v>
      </c>
      <c r="T481" s="19" t="s">
        <v>5894</v>
      </c>
      <c r="U481" s="19">
        <v>17384</v>
      </c>
      <c r="V481" s="115">
        <v>1918.745255</v>
      </c>
      <c r="W481" s="115">
        <f t="shared" si="97"/>
        <v>33355467.51292</v>
      </c>
      <c r="X481" s="263" t="s">
        <v>744</v>
      </c>
      <c r="Y481" t="s">
        <v>25</v>
      </c>
      <c r="Z481" t="s">
        <v>25</v>
      </c>
      <c r="AA481" t="s">
        <v>25</v>
      </c>
    </row>
    <row r="482" spans="17:40">
      <c r="Q482" s="97" t="s">
        <v>5703</v>
      </c>
      <c r="R482" s="93">
        <v>12429517.767776001</v>
      </c>
      <c r="T482" s="19" t="s">
        <v>5906</v>
      </c>
      <c r="U482" s="19">
        <v>133</v>
      </c>
      <c r="V482" s="115">
        <v>1954.8389770000001</v>
      </c>
      <c r="W482" s="115">
        <f t="shared" si="97"/>
        <v>259993.58394100002</v>
      </c>
      <c r="X482" s="263" t="s">
        <v>5114</v>
      </c>
      <c r="AI482" t="s">
        <v>4045</v>
      </c>
      <c r="AJ482" s="112">
        <f>AJ479+AN479</f>
        <v>323780714.39298034</v>
      </c>
      <c r="AM482" t="s">
        <v>25</v>
      </c>
    </row>
    <row r="483" spans="17:40">
      <c r="Q483" s="97" t="s">
        <v>5705</v>
      </c>
      <c r="R483" s="93">
        <v>5031176.5087869996</v>
      </c>
      <c r="T483" s="19" t="s">
        <v>5910</v>
      </c>
      <c r="U483" s="19">
        <v>140</v>
      </c>
      <c r="V483" s="115">
        <v>1928.2522289999999</v>
      </c>
      <c r="W483" s="115">
        <f t="shared" si="97"/>
        <v>269955.31205999997</v>
      </c>
      <c r="X483" s="263" t="s">
        <v>5114</v>
      </c>
      <c r="Y483" t="s">
        <v>25</v>
      </c>
      <c r="AA483" t="s">
        <v>25</v>
      </c>
      <c r="AI483" t="s">
        <v>4048</v>
      </c>
      <c r="AJ483" s="112">
        <f>SUM(N20:N31)</f>
        <v>3575547255</v>
      </c>
    </row>
    <row r="484" spans="17:40">
      <c r="Q484" s="97" t="s">
        <v>5709</v>
      </c>
      <c r="R484" s="93">
        <v>6822803.9080700008</v>
      </c>
      <c r="T484" s="19" t="s">
        <v>6444</v>
      </c>
      <c r="U484" s="19">
        <v>15839</v>
      </c>
      <c r="V484" s="115">
        <v>1893.9957079999999</v>
      </c>
      <c r="W484" s="115">
        <f t="shared" si="97"/>
        <v>29998998.019012</v>
      </c>
      <c r="X484" s="263" t="s">
        <v>6443</v>
      </c>
      <c r="Z484" t="s">
        <v>25</v>
      </c>
      <c r="AI484" t="s">
        <v>4118</v>
      </c>
      <c r="AJ484" s="112">
        <f>AJ483-AJ479</f>
        <v>3373754578.151772</v>
      </c>
    </row>
    <row r="485" spans="17:40">
      <c r="Q485" s="97" t="s">
        <v>5718</v>
      </c>
      <c r="R485" s="93">
        <v>330889.73324399994</v>
      </c>
      <c r="T485" s="19" t="s">
        <v>6449</v>
      </c>
      <c r="U485" s="19">
        <v>26601</v>
      </c>
      <c r="V485" s="115">
        <v>1880.082026</v>
      </c>
      <c r="W485" s="115">
        <f t="shared" si="97"/>
        <v>50012061.973626003</v>
      </c>
      <c r="X485" s="263" t="s">
        <v>5354</v>
      </c>
      <c r="AI485" t="s">
        <v>928</v>
      </c>
      <c r="AJ485" s="112">
        <f>AN479</f>
        <v>121988037.54475237</v>
      </c>
    </row>
    <row r="486" spans="17:40">
      <c r="Q486" s="97" t="s">
        <v>5719</v>
      </c>
      <c r="R486" s="93">
        <v>6610318.1610199995</v>
      </c>
      <c r="T486" s="187" t="s">
        <v>6449</v>
      </c>
      <c r="U486" s="187">
        <v>10637</v>
      </c>
      <c r="V486" s="186">
        <v>1880.082026</v>
      </c>
      <c r="W486" s="186">
        <f t="shared" si="97"/>
        <v>19998432.510561999</v>
      </c>
      <c r="X486" s="262" t="s">
        <v>6450</v>
      </c>
      <c r="Y486" t="s">
        <v>25</v>
      </c>
      <c r="AI486" t="s">
        <v>4049</v>
      </c>
      <c r="AJ486" s="112">
        <f>AJ484-AJ485</f>
        <v>3251766540.6070194</v>
      </c>
      <c r="AM486" t="s">
        <v>25</v>
      </c>
      <c r="AN486" t="s">
        <v>25</v>
      </c>
    </row>
    <row r="487" spans="17:40">
      <c r="Q487" s="97" t="s">
        <v>5721</v>
      </c>
      <c r="R487" s="93">
        <v>710713.17725199996</v>
      </c>
      <c r="T487" s="19" t="s">
        <v>6458</v>
      </c>
      <c r="U487" s="19">
        <v>306</v>
      </c>
      <c r="V487" s="115">
        <v>1831.8117119999999</v>
      </c>
      <c r="W487" s="115">
        <f t="shared" si="97"/>
        <v>560534.38387200003</v>
      </c>
      <c r="X487" s="263" t="s">
        <v>5114</v>
      </c>
      <c r="Y487" t="s">
        <v>25</v>
      </c>
      <c r="AL487" t="s">
        <v>25</v>
      </c>
      <c r="AM487" t="s">
        <v>25</v>
      </c>
      <c r="AN487" t="s">
        <v>25</v>
      </c>
    </row>
    <row r="488" spans="17:40">
      <c r="Q488" s="97" t="s">
        <v>5724</v>
      </c>
      <c r="R488" s="93">
        <v>81025</v>
      </c>
      <c r="T488" s="19" t="s">
        <v>6467</v>
      </c>
      <c r="U488" s="19">
        <v>325</v>
      </c>
      <c r="V488" s="115">
        <v>1789.1845169999999</v>
      </c>
      <c r="W488" s="115">
        <f t="shared" si="97"/>
        <v>581484.96802499995</v>
      </c>
      <c r="X488" s="263" t="s">
        <v>5114</v>
      </c>
      <c r="Z488" t="s">
        <v>25</v>
      </c>
    </row>
    <row r="489" spans="17:40">
      <c r="Q489" s="97" t="s">
        <v>5725</v>
      </c>
      <c r="R489" s="93">
        <v>219696.613128</v>
      </c>
      <c r="T489" s="19" t="s">
        <v>6470</v>
      </c>
      <c r="U489" s="19">
        <v>1154</v>
      </c>
      <c r="V489" s="115">
        <v>1851.788857</v>
      </c>
      <c r="W489" s="115">
        <f t="shared" si="97"/>
        <v>2136964.3409779998</v>
      </c>
      <c r="X489" s="263" t="s">
        <v>5114</v>
      </c>
      <c r="Z489" t="s">
        <v>25</v>
      </c>
      <c r="AA489" t="s">
        <v>25</v>
      </c>
    </row>
    <row r="490" spans="17:40" ht="30">
      <c r="Q490" s="97" t="s">
        <v>5727</v>
      </c>
      <c r="R490" s="93">
        <v>6035472.4070199998</v>
      </c>
      <c r="T490" s="19" t="s">
        <v>6470</v>
      </c>
      <c r="U490" s="19">
        <v>3240</v>
      </c>
      <c r="V490" s="115">
        <v>1851.788857</v>
      </c>
      <c r="W490" s="115">
        <f t="shared" si="97"/>
        <v>5999795.8966800002</v>
      </c>
      <c r="X490" s="263" t="s">
        <v>6472</v>
      </c>
      <c r="AN490" t="s">
        <v>25</v>
      </c>
    </row>
    <row r="491" spans="17:40">
      <c r="Q491" s="97" t="s">
        <v>5729</v>
      </c>
      <c r="R491" s="93">
        <v>984486.34963200008</v>
      </c>
      <c r="T491" s="19" t="s">
        <v>6470</v>
      </c>
      <c r="U491" s="19">
        <v>-3240</v>
      </c>
      <c r="V491" s="115">
        <v>1851.788857</v>
      </c>
      <c r="W491" s="115">
        <f t="shared" si="97"/>
        <v>-5999795.8966800002</v>
      </c>
      <c r="X491" s="263" t="s">
        <v>6473</v>
      </c>
      <c r="Z491" t="s">
        <v>25</v>
      </c>
      <c r="AA491" t="s">
        <v>25</v>
      </c>
      <c r="AN491" t="s">
        <v>25</v>
      </c>
    </row>
    <row r="492" spans="17:40">
      <c r="Q492" s="97" t="s">
        <v>5741</v>
      </c>
      <c r="R492" s="93">
        <v>2143469.938015</v>
      </c>
      <c r="T492" s="19" t="s">
        <v>6474</v>
      </c>
      <c r="U492" s="19">
        <v>330</v>
      </c>
      <c r="V492" s="115">
        <v>1799.34311</v>
      </c>
      <c r="W492" s="115">
        <f t="shared" si="97"/>
        <v>593783.22629999998</v>
      </c>
      <c r="X492" s="263" t="s">
        <v>5114</v>
      </c>
      <c r="AB492" t="s">
        <v>25</v>
      </c>
    </row>
    <row r="493" spans="17:40">
      <c r="Q493" s="97" t="s">
        <v>5743</v>
      </c>
      <c r="R493" s="93">
        <v>3085460.5177150001</v>
      </c>
      <c r="T493" s="19" t="s">
        <v>6478</v>
      </c>
      <c r="U493" s="19">
        <v>266</v>
      </c>
      <c r="V493" s="115">
        <v>1764.9246700000001</v>
      </c>
      <c r="W493" s="115">
        <f t="shared" si="97"/>
        <v>469469.96222000004</v>
      </c>
      <c r="X493" s="263" t="s">
        <v>5114</v>
      </c>
      <c r="Y493" t="s">
        <v>25</v>
      </c>
      <c r="AA493" t="s">
        <v>25</v>
      </c>
    </row>
    <row r="494" spans="17:40">
      <c r="Q494" s="97" t="s">
        <v>5745</v>
      </c>
      <c r="R494" s="93">
        <v>8261456.790906</v>
      </c>
      <c r="T494" s="187" t="s">
        <v>6497</v>
      </c>
      <c r="U494" s="187">
        <v>-10637</v>
      </c>
      <c r="V494" s="186">
        <v>1739.5916549999999</v>
      </c>
      <c r="W494" s="186">
        <f t="shared" si="97"/>
        <v>-18504036.434234999</v>
      </c>
      <c r="X494" s="262" t="s">
        <v>6500</v>
      </c>
      <c r="Y494" t="s">
        <v>25</v>
      </c>
      <c r="AA494" t="s">
        <v>25</v>
      </c>
    </row>
    <row r="495" spans="17:40">
      <c r="Q495" s="97" t="s">
        <v>5750</v>
      </c>
      <c r="R495" s="93">
        <v>6572373.7593120001</v>
      </c>
      <c r="T495" s="19" t="s">
        <v>6497</v>
      </c>
      <c r="U495" s="19">
        <v>10637</v>
      </c>
      <c r="V495" s="115">
        <v>1739.5916549999999</v>
      </c>
      <c r="W495" s="115">
        <f t="shared" si="97"/>
        <v>18504036.434234999</v>
      </c>
      <c r="X495" s="263" t="s">
        <v>6501</v>
      </c>
    </row>
    <row r="496" spans="17:40" ht="30">
      <c r="Q496" s="97" t="s">
        <v>5752</v>
      </c>
      <c r="R496" s="93">
        <v>2893243.5730909999</v>
      </c>
      <c r="T496" s="19" t="s">
        <v>6551</v>
      </c>
      <c r="U496" s="19">
        <v>39478</v>
      </c>
      <c r="V496" s="115">
        <v>1873.903047</v>
      </c>
      <c r="W496" s="115">
        <f t="shared" si="97"/>
        <v>73977944.489465997</v>
      </c>
      <c r="X496" s="263" t="s">
        <v>6555</v>
      </c>
    </row>
    <row r="497" spans="16:28">
      <c r="Q497" s="97" t="s">
        <v>5758</v>
      </c>
      <c r="R497" s="93">
        <v>94992058.939007998</v>
      </c>
      <c r="T497" s="19" t="s">
        <v>6559</v>
      </c>
      <c r="U497" s="19">
        <v>283</v>
      </c>
      <c r="V497" s="115">
        <v>2014.7222959999999</v>
      </c>
      <c r="W497" s="115">
        <f t="shared" si="97"/>
        <v>570166.40976800001</v>
      </c>
      <c r="X497" s="263" t="s">
        <v>6560</v>
      </c>
      <c r="Y497" t="s">
        <v>25</v>
      </c>
      <c r="AA497" t="s">
        <v>25</v>
      </c>
    </row>
    <row r="498" spans="16:28">
      <c r="Q498" s="97" t="s">
        <v>5765</v>
      </c>
      <c r="R498" s="93">
        <v>275021.925965</v>
      </c>
      <c r="T498" s="19" t="s">
        <v>6564</v>
      </c>
      <c r="U498" s="19">
        <v>1704</v>
      </c>
      <c r="V498" s="115">
        <v>2104.0605820000001</v>
      </c>
      <c r="W498" s="115">
        <f t="shared" si="97"/>
        <v>3585319.2317280001</v>
      </c>
      <c r="X498" s="263" t="s">
        <v>5114</v>
      </c>
      <c r="Z498" t="s">
        <v>25</v>
      </c>
      <c r="AA498" t="s">
        <v>25</v>
      </c>
    </row>
    <row r="499" spans="16:28">
      <c r="Q499" s="97" t="s">
        <v>5777</v>
      </c>
      <c r="R499" s="93">
        <v>327451.9203</v>
      </c>
      <c r="T499" s="19"/>
      <c r="U499" s="19"/>
      <c r="V499" s="115"/>
      <c r="W499" s="115"/>
      <c r="X499" s="263"/>
      <c r="Y499" t="s">
        <v>25</v>
      </c>
      <c r="Z499" t="s">
        <v>25</v>
      </c>
    </row>
    <row r="500" spans="16:28">
      <c r="Q500" s="97" t="s">
        <v>5787</v>
      </c>
      <c r="R500" s="93">
        <v>260081.94096800001</v>
      </c>
      <c r="T500" s="19"/>
      <c r="U500" s="19"/>
      <c r="V500" s="115"/>
      <c r="W500" s="115">
        <f t="shared" si="97"/>
        <v>0</v>
      </c>
      <c r="X500" s="263"/>
      <c r="Y500" t="s">
        <v>25</v>
      </c>
      <c r="AA500" t="s">
        <v>25</v>
      </c>
    </row>
    <row r="501" spans="16:28">
      <c r="Q501" s="97" t="s">
        <v>5788</v>
      </c>
      <c r="R501" s="93">
        <v>2909284.5308940001</v>
      </c>
      <c r="T501" s="19"/>
      <c r="U501" s="19"/>
      <c r="V501" s="115"/>
      <c r="W501" s="115">
        <f t="shared" si="97"/>
        <v>0</v>
      </c>
      <c r="X501" s="263"/>
      <c r="Y501" t="s">
        <v>25</v>
      </c>
      <c r="AA501" t="s">
        <v>25</v>
      </c>
      <c r="AB501" t="s">
        <v>25</v>
      </c>
    </row>
    <row r="502" spans="16:28">
      <c r="Q502" s="97" t="s">
        <v>5789</v>
      </c>
      <c r="R502" s="93">
        <v>37723205.094084002</v>
      </c>
      <c r="T502" s="97"/>
      <c r="U502" s="166"/>
      <c r="V502" s="111"/>
      <c r="W502" s="115">
        <f t="shared" si="97"/>
        <v>0</v>
      </c>
      <c r="X502" s="97"/>
    </row>
    <row r="503" spans="16:28">
      <c r="Q503" s="97" t="s">
        <v>5790</v>
      </c>
      <c r="R503" s="93">
        <v>1500094.75168</v>
      </c>
      <c r="T503" s="166"/>
      <c r="U503" s="166">
        <f>SUM(U181:U502)</f>
        <v>4351224</v>
      </c>
      <c r="V503" s="97"/>
      <c r="W503" s="97"/>
      <c r="X503" s="97"/>
    </row>
    <row r="504" spans="16:28">
      <c r="Q504" s="97" t="s">
        <v>5792</v>
      </c>
      <c r="R504" s="93">
        <v>7230628.4378079996</v>
      </c>
      <c r="T504" s="97"/>
      <c r="U504" s="97" t="s">
        <v>6</v>
      </c>
      <c r="V504" s="97"/>
      <c r="W504" s="97"/>
      <c r="X504" s="97"/>
    </row>
    <row r="505" spans="16:28">
      <c r="Q505" s="97" t="s">
        <v>5793</v>
      </c>
      <c r="R505" s="93">
        <v>29767389.390390001</v>
      </c>
      <c r="T505" s="197" t="s">
        <v>4438</v>
      </c>
      <c r="Y505" t="s">
        <v>25</v>
      </c>
    </row>
    <row r="506" spans="16:28">
      <c r="Q506" s="97" t="s">
        <v>5795</v>
      </c>
      <c r="R506" s="93">
        <v>151560.25597</v>
      </c>
      <c r="T506" s="196">
        <f>R197/U503</f>
        <v>2104.0605822637494</v>
      </c>
      <c r="X506" t="s">
        <v>25</v>
      </c>
    </row>
    <row r="507" spans="16:28">
      <c r="Q507" s="97" t="s">
        <v>5798</v>
      </c>
      <c r="R507" s="93">
        <v>481318.88078800001</v>
      </c>
      <c r="W507" s="112"/>
      <c r="X507">
        <v>26601</v>
      </c>
      <c r="Z507" t="s">
        <v>25</v>
      </c>
    </row>
    <row r="508" spans="16:28">
      <c r="Q508" s="97" t="s">
        <v>5811</v>
      </c>
      <c r="R508" s="93">
        <v>146277.56820000001</v>
      </c>
      <c r="U508" s="94" t="s">
        <v>267</v>
      </c>
      <c r="V508" t="s">
        <v>4439</v>
      </c>
      <c r="X508" t="s">
        <v>25</v>
      </c>
    </row>
    <row r="509" spans="16:28">
      <c r="Q509" s="97" t="s">
        <v>5814</v>
      </c>
      <c r="R509" s="93">
        <v>424693.40162399999</v>
      </c>
      <c r="T509" s="112"/>
      <c r="U509" s="93">
        <v>-3587204</v>
      </c>
      <c r="V509">
        <f>U509/T506</f>
        <v>-1704.8957764041866</v>
      </c>
      <c r="X509" t="s">
        <v>25</v>
      </c>
    </row>
    <row r="510" spans="16:28">
      <c r="Q510" s="97" t="s">
        <v>5816</v>
      </c>
      <c r="R510" s="93">
        <v>558320.40202399995</v>
      </c>
      <c r="T510" t="s">
        <v>25</v>
      </c>
      <c r="X510" t="s">
        <v>25</v>
      </c>
    </row>
    <row r="511" spans="16:28">
      <c r="P511" t="s">
        <v>25</v>
      </c>
      <c r="Q511" s="97" t="s">
        <v>5840</v>
      </c>
      <c r="R511" s="93">
        <v>207642.22201140001</v>
      </c>
      <c r="T511" t="s">
        <v>25</v>
      </c>
      <c r="U511" s="94" t="s">
        <v>25</v>
      </c>
      <c r="V511" s="22"/>
      <c r="W511" s="214"/>
      <c r="X511" s="272" t="s">
        <v>25</v>
      </c>
    </row>
    <row r="512" spans="16:28">
      <c r="Q512" s="97" t="s">
        <v>5840</v>
      </c>
      <c r="R512" s="93">
        <v>33832510.64875</v>
      </c>
      <c r="V512" t="s">
        <v>25</v>
      </c>
      <c r="X512" t="s">
        <v>25</v>
      </c>
    </row>
    <row r="513" spans="17:24">
      <c r="Q513" s="97" t="s">
        <v>5855</v>
      </c>
      <c r="R513" s="93">
        <v>637977.33504399995</v>
      </c>
      <c r="W513" s="112"/>
      <c r="X513" t="s">
        <v>25</v>
      </c>
    </row>
    <row r="514" spans="17:24" ht="60">
      <c r="Q514" s="97" t="s">
        <v>5856</v>
      </c>
      <c r="R514" s="93">
        <v>466552.25632400002</v>
      </c>
      <c r="T514" s="22" t="s">
        <v>4424</v>
      </c>
      <c r="V514" s="214"/>
    </row>
    <row r="515" spans="17:24" ht="45">
      <c r="Q515" s="97" t="s">
        <v>5857</v>
      </c>
      <c r="R515" s="93">
        <v>149316.98805000001</v>
      </c>
      <c r="T515" s="22" t="s">
        <v>4425</v>
      </c>
      <c r="W515" s="272"/>
    </row>
    <row r="516" spans="17:24">
      <c r="Q516" s="97" t="s">
        <v>5857</v>
      </c>
      <c r="R516" s="93">
        <v>189134.85153000001</v>
      </c>
    </row>
    <row r="517" spans="17:24">
      <c r="Q517" s="97" t="s">
        <v>5862</v>
      </c>
      <c r="R517" s="93">
        <v>564888.82799599995</v>
      </c>
    </row>
    <row r="518" spans="17:24">
      <c r="Q518" s="97" t="s">
        <v>5871</v>
      </c>
      <c r="R518" s="93">
        <v>8762299.2047910001</v>
      </c>
      <c r="T518" s="97" t="s">
        <v>4440</v>
      </c>
      <c r="U518" s="97" t="s">
        <v>4419</v>
      </c>
      <c r="V518" s="97" t="s">
        <v>938</v>
      </c>
      <c r="W518" s="72" t="s">
        <v>5546</v>
      </c>
    </row>
    <row r="519" spans="17:24">
      <c r="Q519" s="97" t="s">
        <v>5871</v>
      </c>
      <c r="R519" s="93">
        <v>-341847876.93843603</v>
      </c>
      <c r="T519" s="93">
        <f>S244+R312+R542</f>
        <v>2475146037.9261656</v>
      </c>
      <c r="U519" s="93">
        <f>R197</f>
        <v>9155238903</v>
      </c>
      <c r="V519" s="93">
        <f>U519-T519</f>
        <v>6680092865.0738344</v>
      </c>
    </row>
    <row r="520" spans="17:24">
      <c r="Q520" s="97" t="s">
        <v>5906</v>
      </c>
      <c r="R520" s="93">
        <v>259993.58394100002</v>
      </c>
      <c r="W520" s="94" t="s">
        <v>25</v>
      </c>
    </row>
    <row r="521" spans="17:24">
      <c r="Q521" s="97" t="s">
        <v>5910</v>
      </c>
      <c r="R521" s="93">
        <v>269955.31205999997</v>
      </c>
    </row>
    <row r="522" spans="17:24">
      <c r="Q522" s="97" t="s">
        <v>6458</v>
      </c>
      <c r="R522" s="93">
        <v>560534.38387200003</v>
      </c>
      <c r="T522" s="115"/>
      <c r="V522" s="112">
        <f>(444000000+2500000)*2/3</f>
        <v>297666666.66666669</v>
      </c>
    </row>
    <row r="523" spans="17:24">
      <c r="Q523" s="97" t="s">
        <v>6467</v>
      </c>
      <c r="R523" s="93">
        <v>581484.96802499995</v>
      </c>
    </row>
    <row r="524" spans="17:24">
      <c r="Q524" s="97" t="s">
        <v>6470</v>
      </c>
      <c r="R524" s="93">
        <v>2136964.3409779998</v>
      </c>
      <c r="T524" s="112">
        <f>W327+W328+W330+W331+W333+W334</f>
        <v>-301699041.74755996</v>
      </c>
    </row>
    <row r="525" spans="17:24">
      <c r="Q525" s="97" t="s">
        <v>6474</v>
      </c>
      <c r="R525" s="93">
        <v>593783.22629999998</v>
      </c>
      <c r="T525" t="s">
        <v>25</v>
      </c>
    </row>
    <row r="526" spans="17:24">
      <c r="Q526" s="97" t="s">
        <v>6478</v>
      </c>
      <c r="R526" s="93">
        <v>469469.96222000004</v>
      </c>
      <c r="T526" s="112">
        <f>V522+T524</f>
        <v>-4032375.0808932781</v>
      </c>
    </row>
    <row r="527" spans="17:24">
      <c r="Q527" s="97" t="s">
        <v>6551</v>
      </c>
      <c r="R527" s="93">
        <v>73977944.489465997</v>
      </c>
      <c r="T527" t="s">
        <v>25</v>
      </c>
    </row>
    <row r="528" spans="17:24">
      <c r="Q528" s="97" t="s">
        <v>6559</v>
      </c>
      <c r="R528" s="93">
        <v>570166.40976800001</v>
      </c>
      <c r="T528" t="s">
        <v>25</v>
      </c>
      <c r="X528" s="112">
        <f>V536+V538</f>
        <v>22521440</v>
      </c>
    </row>
    <row r="529" spans="17:24">
      <c r="Q529" s="97" t="s">
        <v>6564</v>
      </c>
      <c r="R529" s="93">
        <v>3585319.2317280001</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c r="R534" s="93"/>
      <c r="T534" s="97" t="s">
        <v>5874</v>
      </c>
      <c r="U534" s="97">
        <v>2527652</v>
      </c>
      <c r="V534" s="49">
        <f>U534*80-50000000</f>
        <v>152212160</v>
      </c>
      <c r="X534" t="s">
        <v>25</v>
      </c>
    </row>
    <row r="535" spans="17:24">
      <c r="Q535" s="97"/>
      <c r="R535" s="93"/>
      <c r="T535" s="97" t="s">
        <v>5852</v>
      </c>
      <c r="U535" s="97">
        <v>47381</v>
      </c>
      <c r="V535" s="35">
        <f t="shared" ref="V535" si="116">U535*80</f>
        <v>3790480</v>
      </c>
    </row>
    <row r="536" spans="17:24">
      <c r="Q536" s="97"/>
      <c r="R536" s="93"/>
      <c r="T536" s="97" t="s">
        <v>1071</v>
      </c>
      <c r="U536" s="97">
        <v>226303</v>
      </c>
      <c r="V536" s="186">
        <f>U536*80</f>
        <v>18104240</v>
      </c>
    </row>
    <row r="537" spans="17:24">
      <c r="Q537" s="97"/>
      <c r="R537" s="93"/>
      <c r="T537" s="97" t="s">
        <v>5851</v>
      </c>
      <c r="U537" s="97">
        <v>8020</v>
      </c>
      <c r="V537" s="35">
        <f>U537*80</f>
        <v>641600</v>
      </c>
    </row>
    <row r="538" spans="17:24">
      <c r="Q538" s="97"/>
      <c r="R538" s="93"/>
      <c r="T538" s="97" t="s">
        <v>5847</v>
      </c>
      <c r="U538" s="97">
        <v>55215</v>
      </c>
      <c r="V538" s="186">
        <f>U538*80</f>
        <v>4417200</v>
      </c>
    </row>
    <row r="539" spans="17:24">
      <c r="Q539" s="97"/>
      <c r="R539" s="93"/>
      <c r="T539" s="97" t="s">
        <v>5848</v>
      </c>
      <c r="U539" s="97">
        <v>26770</v>
      </c>
      <c r="V539" s="49">
        <f>U539*80</f>
        <v>2141600</v>
      </c>
    </row>
    <row r="540" spans="17:24">
      <c r="Q540" s="97" t="s">
        <v>25</v>
      </c>
      <c r="R540" s="93"/>
    </row>
    <row r="541" spans="17:24">
      <c r="Q541" s="97" t="s">
        <v>25</v>
      </c>
      <c r="R541" s="97" t="s">
        <v>25</v>
      </c>
    </row>
    <row r="542" spans="17:24">
      <c r="Q542" s="97"/>
      <c r="R542" s="93">
        <f>SUM(R317:R541)</f>
        <v>2212703475.4868264</v>
      </c>
    </row>
    <row r="543" spans="17:24">
      <c r="R543" s="97" t="s">
        <v>6</v>
      </c>
      <c r="X543" t="s">
        <v>25</v>
      </c>
    </row>
    <row r="544" spans="17:24">
      <c r="T544" s="97" t="s">
        <v>5528</v>
      </c>
      <c r="U544" s="97">
        <v>139096</v>
      </c>
      <c r="V544" s="167">
        <f>U544*80</f>
        <v>11127680</v>
      </c>
    </row>
    <row r="545" spans="17:23">
      <c r="Q545" t="s">
        <v>25</v>
      </c>
      <c r="T545" s="97"/>
      <c r="U545" s="97"/>
      <c r="V545" s="167"/>
    </row>
    <row r="546" spans="17:23">
      <c r="T546" s="97"/>
      <c r="U546" s="97"/>
      <c r="V546" s="167"/>
    </row>
    <row r="547" spans="17:23">
      <c r="Q547" t="s">
        <v>25</v>
      </c>
      <c r="R547" t="s">
        <v>25</v>
      </c>
    </row>
    <row r="548" spans="17:23">
      <c r="Q548" t="s">
        <v>25</v>
      </c>
      <c r="R548" t="s">
        <v>25</v>
      </c>
      <c r="T548" s="94"/>
      <c r="V548" s="94"/>
    </row>
    <row r="549" spans="17:23">
      <c r="Q549" s="112"/>
      <c r="R549" t="s">
        <v>25</v>
      </c>
      <c r="T549" s="94"/>
      <c r="V549" s="94"/>
      <c r="W549" s="112"/>
    </row>
    <row r="550" spans="17:23">
      <c r="T550" s="94"/>
      <c r="V550" s="94"/>
    </row>
    <row r="551" spans="17:23">
      <c r="R551" t="s">
        <v>25</v>
      </c>
      <c r="T551" s="94"/>
      <c r="V551" s="94"/>
    </row>
    <row r="552" spans="17:23">
      <c r="Q552" t="s">
        <v>25</v>
      </c>
    </row>
    <row r="553" spans="17:23">
      <c r="U55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5 S151"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3" si="0">C1*D1*0.99114/(F1*1.0037158)</f>
        <v>3675.0457776439484</v>
      </c>
      <c r="H1" s="204">
        <f t="shared" ref="H1:H23" si="1">C1/F1</f>
        <v>1.2405585193966937</v>
      </c>
      <c r="I1" s="289">
        <f>$R$5/$R$4</f>
        <v>1.4407894736842106</v>
      </c>
      <c r="J1" s="20">
        <f t="shared" ref="J1:J23" si="2">I1/H1</f>
        <v>1.1614038766868433</v>
      </c>
      <c r="K1" s="97">
        <f t="shared" ref="K1:K23" si="3">(1/J1-1.0256)*100</f>
        <v>-16.45730824278656</v>
      </c>
      <c r="L1" s="20"/>
      <c r="M1" s="20"/>
      <c r="N1" s="20">
        <v>1</v>
      </c>
      <c r="P1" s="94"/>
      <c r="Q1" s="67" t="s">
        <v>5905</v>
      </c>
      <c r="R1" s="312">
        <v>2150</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1.4407894736842106</v>
      </c>
      <c r="J2" s="20">
        <f t="shared" si="2"/>
        <v>1.0964038530168074</v>
      </c>
      <c r="K2" s="97">
        <f t="shared" si="3"/>
        <v>-11.352732053207193</v>
      </c>
      <c r="L2" s="20" t="s">
        <v>25</v>
      </c>
      <c r="M2" s="20"/>
      <c r="N2" s="20">
        <f>H2/H1</f>
        <v>1.0592847457542085</v>
      </c>
      <c r="P2" s="94"/>
      <c r="Q2" s="97" t="s">
        <v>4219</v>
      </c>
      <c r="R2" s="283">
        <v>1167</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1.4407894736842106</v>
      </c>
      <c r="J3" s="20">
        <f t="shared" si="2"/>
        <v>1.0864805259246948</v>
      </c>
      <c r="K3" s="97">
        <f t="shared" si="3"/>
        <v>-10.519694063645735</v>
      </c>
      <c r="L3" s="20"/>
      <c r="M3" s="20"/>
      <c r="N3" s="20">
        <f>H3/H2</f>
        <v>1.0091334606146456</v>
      </c>
      <c r="P3" s="113"/>
      <c r="Q3" s="97" t="s">
        <v>5278</v>
      </c>
      <c r="R3" s="296">
        <v>1270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18.766066838046271</v>
      </c>
      <c r="J4" s="97">
        <f t="shared" si="2"/>
        <v>1.059796455278853</v>
      </c>
      <c r="K4" s="97">
        <f t="shared" si="3"/>
        <v>-8.2022584715212616</v>
      </c>
      <c r="L4" s="97"/>
      <c r="M4" s="97"/>
      <c r="N4" s="281">
        <v>1</v>
      </c>
      <c r="P4" s="113"/>
      <c r="Q4" s="97" t="s">
        <v>4357</v>
      </c>
      <c r="R4" s="295">
        <v>15200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18.766066838046271</v>
      </c>
      <c r="J5" s="97">
        <f t="shared" si="2"/>
        <v>1.0441086788026859</v>
      </c>
      <c r="K5" s="97">
        <f t="shared" si="3"/>
        <v>-6.7845294669197536</v>
      </c>
      <c r="L5" s="97"/>
      <c r="M5" s="97"/>
      <c r="N5" s="281">
        <f>H5/H4</f>
        <v>1.015025041736227</v>
      </c>
      <c r="P5" s="113"/>
      <c r="Q5" s="97" t="s">
        <v>4361</v>
      </c>
      <c r="R5" s="282">
        <v>21900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18.766066838046271</v>
      </c>
      <c r="J6" s="97">
        <f t="shared" si="2"/>
        <v>1.0353932474270375</v>
      </c>
      <c r="K6" s="97">
        <f t="shared" si="3"/>
        <v>-5.9783386375167336</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18.766066838046271</v>
      </c>
      <c r="J7" s="97">
        <f t="shared" si="2"/>
        <v>1.031907074876778</v>
      </c>
      <c r="K7" s="97">
        <f t="shared" si="3"/>
        <v>-5.6520492410218388</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18.766066838046271</v>
      </c>
      <c r="J8" s="97">
        <f t="shared" si="2"/>
        <v>1.0470017405239156</v>
      </c>
      <c r="K8" s="97">
        <f t="shared" si="3"/>
        <v>-7.0491750132522402</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19" si="4">$R$4/$R$2</f>
        <v>13.024850042844902</v>
      </c>
      <c r="J9" s="20">
        <f>I9/H9</f>
        <v>1.132892124734771</v>
      </c>
      <c r="K9" s="20">
        <f>(1/J9-1.0256)*100</f>
        <v>-14.290342354165741</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13.024850042844902</v>
      </c>
      <c r="J10" s="20">
        <f t="shared" si="2"/>
        <v>1.1227640963865395</v>
      </c>
      <c r="K10" s="20">
        <f t="shared" si="3"/>
        <v>-13.49409530832334</v>
      </c>
      <c r="L10" s="20"/>
      <c r="M10" s="20"/>
      <c r="N10" s="20">
        <f t="shared" ref="N10:N19" si="5">H10/H9</f>
        <v>1.0090206200757816</v>
      </c>
      <c r="Q10" s="97">
        <v>9477</v>
      </c>
      <c r="R10" s="97">
        <v>128489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13.024850042844902</v>
      </c>
      <c r="J11" s="20">
        <f t="shared" si="2"/>
        <v>1.111949380922221</v>
      </c>
      <c r="K11" s="20">
        <f t="shared" si="3"/>
        <v>-12.627848666759744</v>
      </c>
      <c r="L11" s="20"/>
      <c r="M11" s="20"/>
      <c r="N11" s="20">
        <f t="shared" si="5"/>
        <v>1.0097259062776305</v>
      </c>
      <c r="Q11" s="97">
        <f>Q10*R11/R10</f>
        <v>3988.0564873257631</v>
      </c>
      <c r="R11" s="97">
        <v>54070</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13.024850042844902</v>
      </c>
      <c r="J12" s="20">
        <f t="shared" si="2"/>
        <v>1.0975420968533662</v>
      </c>
      <c r="K12" s="20">
        <f t="shared" si="3"/>
        <v>-11.447321692080671</v>
      </c>
      <c r="L12" s="20"/>
      <c r="M12" s="20"/>
      <c r="N12" s="20">
        <f t="shared" si="5"/>
        <v>1.0131268623865637</v>
      </c>
      <c r="Q12" s="97">
        <f>Q10-Q11</f>
        <v>5488.9435126742374</v>
      </c>
      <c r="R12" s="97">
        <f>R10-R11</f>
        <v>74419</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13.024850042844902</v>
      </c>
      <c r="J13" s="20">
        <f t="shared" si="2"/>
        <v>1.1065196577032497</v>
      </c>
      <c r="K13" s="20">
        <f t="shared" si="3"/>
        <v>-12.18654905962968</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13.024850042844902</v>
      </c>
      <c r="J14" s="20">
        <f t="shared" si="2"/>
        <v>1.0790299385584454</v>
      </c>
      <c r="K14" s="20">
        <f t="shared" si="3"/>
        <v>-9.8841655059198175</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13.024850042844902</v>
      </c>
      <c r="J15" s="20">
        <f t="shared" si="2"/>
        <v>1.0580938637818829</v>
      </c>
      <c r="K15" s="20">
        <f t="shared" si="3"/>
        <v>-8.0504263005780388</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13.024850042844902</v>
      </c>
      <c r="J16" s="20">
        <f t="shared" si="2"/>
        <v>1.0383603656437925</v>
      </c>
      <c r="K16" s="20">
        <f t="shared" si="3"/>
        <v>-6.2543210577966191</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13.024850042844902</v>
      </c>
      <c r="J17" s="20">
        <f t="shared" si="2"/>
        <v>1.03048213047227</v>
      </c>
      <c r="K17" s="20">
        <f t="shared" si="3"/>
        <v>-5.518045517810199</v>
      </c>
      <c r="L17" s="20"/>
      <c r="M17" s="20"/>
      <c r="N17" s="20">
        <f t="shared" si="5"/>
        <v>1.0076451933891486</v>
      </c>
      <c r="Q17" s="97">
        <v>1296.9000000000001</v>
      </c>
      <c r="R17" s="97">
        <f>Q17/1.0037158</f>
        <v>1292.0988192075886</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13.024850042844902</v>
      </c>
      <c r="J18" s="20">
        <f t="shared" si="2"/>
        <v>1.011917263688823</v>
      </c>
      <c r="K18" s="20">
        <f t="shared" si="3"/>
        <v>-3.7376915086298701</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13.024850042844902</v>
      </c>
      <c r="J19" s="20">
        <f t="shared" si="2"/>
        <v>0.94863832365717815</v>
      </c>
      <c r="K19" s="20">
        <f t="shared" si="3"/>
        <v>2.8542527306732568</v>
      </c>
      <c r="L19" s="20"/>
      <c r="M19" s="20"/>
      <c r="N19" s="20">
        <f t="shared" si="5"/>
        <v>1.0667050217702494</v>
      </c>
    </row>
    <row r="20" spans="1:24" ht="21">
      <c r="A20" s="275" t="s">
        <v>6564</v>
      </c>
      <c r="B20" s="275" t="s">
        <v>4219</v>
      </c>
      <c r="C20" s="277">
        <v>1188.9000000000001</v>
      </c>
      <c r="D20" s="275">
        <v>35775</v>
      </c>
      <c r="E20" s="294" t="s">
        <v>5278</v>
      </c>
      <c r="F20" s="313">
        <v>1292.0999999999999</v>
      </c>
      <c r="G20" s="294">
        <f t="shared" si="0"/>
        <v>32505.218215448745</v>
      </c>
      <c r="H20" s="294">
        <f t="shared" si="1"/>
        <v>0.92013002089621565</v>
      </c>
      <c r="I20" s="294">
        <f>$R$2/$R$3</f>
        <v>0.91889763779527556</v>
      </c>
      <c r="J20" s="97">
        <f>I20/H20</f>
        <v>0.99866064243861996</v>
      </c>
      <c r="K20" s="315">
        <f t="shared" si="3"/>
        <v>-2.4258846154075586</v>
      </c>
      <c r="L20" s="97"/>
      <c r="M20" s="97"/>
      <c r="N20" s="97">
        <v>1</v>
      </c>
    </row>
    <row r="21" spans="1:24">
      <c r="A21" s="60" t="s">
        <v>5798</v>
      </c>
      <c r="B21" s="60" t="s">
        <v>4357</v>
      </c>
      <c r="C21" s="49">
        <v>12975.5</v>
      </c>
      <c r="D21" s="60">
        <v>8000</v>
      </c>
      <c r="E21" s="294" t="s">
        <v>5278</v>
      </c>
      <c r="F21" s="313">
        <v>1266.3</v>
      </c>
      <c r="G21" s="294">
        <f t="shared" si="0"/>
        <v>80947.180267609016</v>
      </c>
      <c r="H21" s="294">
        <f t="shared" si="1"/>
        <v>10.246781963199874</v>
      </c>
      <c r="I21" s="294">
        <f>$R$4/$R$3</f>
        <v>11.968503937007874</v>
      </c>
      <c r="J21" s="97">
        <f t="shared" si="2"/>
        <v>1.1680256279475218</v>
      </c>
      <c r="K21" s="97">
        <f t="shared" si="3"/>
        <v>-16.945440175895797</v>
      </c>
      <c r="L21" s="97"/>
      <c r="M21" s="97"/>
      <c r="N21" s="97">
        <v>1</v>
      </c>
    </row>
    <row r="22" spans="1:24" ht="21">
      <c r="A22" s="60" t="s">
        <v>5799</v>
      </c>
      <c r="B22" s="60" t="s">
        <v>4357</v>
      </c>
      <c r="C22" s="49">
        <v>12936</v>
      </c>
      <c r="D22" s="60">
        <v>316</v>
      </c>
      <c r="E22" s="294" t="s">
        <v>5278</v>
      </c>
      <c r="F22" s="313">
        <v>1250.3</v>
      </c>
      <c r="G22" s="294">
        <f t="shared" si="0"/>
        <v>3228.4725727825744</v>
      </c>
      <c r="H22" s="294">
        <f t="shared" si="1"/>
        <v>10.346316883947853</v>
      </c>
      <c r="I22" s="294">
        <f>$R$4/$R$3</f>
        <v>11.968503937007874</v>
      </c>
      <c r="J22" s="97">
        <f t="shared" si="2"/>
        <v>1.1567888429530724</v>
      </c>
      <c r="K22" s="315">
        <f t="shared" si="3"/>
        <v>-16.113799719646238</v>
      </c>
      <c r="L22" s="97" t="s">
        <v>25</v>
      </c>
      <c r="M22" s="97" t="s">
        <v>25</v>
      </c>
      <c r="N22" s="97">
        <f>H22/H21</f>
        <v>1.0097137736613746</v>
      </c>
    </row>
    <row r="23" spans="1:24">
      <c r="A23" s="275" t="s">
        <v>6449</v>
      </c>
      <c r="B23" s="275" t="s">
        <v>4219</v>
      </c>
      <c r="C23" s="277">
        <v>1038</v>
      </c>
      <c r="D23" s="275">
        <v>100000</v>
      </c>
      <c r="E23" s="150" t="s">
        <v>5905</v>
      </c>
      <c r="F23" s="150">
        <v>1955</v>
      </c>
      <c r="G23" s="150">
        <f t="shared" si="0"/>
        <v>52429.393600945587</v>
      </c>
      <c r="H23" s="150">
        <f t="shared" si="1"/>
        <v>0.53094629156010231</v>
      </c>
      <c r="I23" s="150">
        <f>$R$2/$R$1</f>
        <v>0.54279069767441857</v>
      </c>
      <c r="J23" s="97">
        <f t="shared" si="2"/>
        <v>1.022308105928216</v>
      </c>
      <c r="K23" s="97">
        <f t="shared" si="3"/>
        <v>-4.7421313749597243</v>
      </c>
      <c r="L23" s="97"/>
      <c r="M23" s="97"/>
      <c r="N23" s="97">
        <v>1</v>
      </c>
      <c r="Q23" s="94"/>
      <c r="X23" t="s">
        <v>25</v>
      </c>
    </row>
    <row r="24" spans="1:24">
      <c r="A24" s="275" t="s">
        <v>6470</v>
      </c>
      <c r="B24" s="275" t="s">
        <v>4219</v>
      </c>
      <c r="C24" s="277">
        <v>948</v>
      </c>
      <c r="D24" s="275">
        <v>1</v>
      </c>
      <c r="E24" s="150" t="s">
        <v>5905</v>
      </c>
      <c r="F24" s="150">
        <v>1712</v>
      </c>
      <c r="G24" s="150">
        <f t="shared" ref="G24" si="6">C24*D24*0.99114/(F24*1.0037158)</f>
        <v>0.54680039535263103</v>
      </c>
      <c r="H24" s="150">
        <f t="shared" ref="H24" si="7">C24/F24</f>
        <v>0.55373831775700932</v>
      </c>
      <c r="I24" s="150">
        <f>$R$2/$R$1</f>
        <v>0.54279069767441857</v>
      </c>
      <c r="J24" s="97">
        <f>I24/H24</f>
        <v>0.98022961436561673</v>
      </c>
      <c r="K24" s="97">
        <f>(1/J24-1.0256)*100</f>
        <v>-0.54308627441559398</v>
      </c>
      <c r="L24" s="97"/>
      <c r="M24" s="97"/>
      <c r="N24" s="97">
        <f>H24/H23</f>
        <v>1.0429271784344443</v>
      </c>
      <c r="P24" s="112"/>
    </row>
    <row r="25" spans="1:24">
      <c r="A25" s="94"/>
      <c r="B25" s="113"/>
      <c r="C25" s="113"/>
      <c r="D25" s="94"/>
      <c r="E25" s="94"/>
      <c r="F25" s="94"/>
      <c r="G25" s="94"/>
      <c r="H25" s="94"/>
      <c r="I25" s="94"/>
      <c r="J25" s="94"/>
      <c r="K25" s="94"/>
      <c r="L25" s="94"/>
      <c r="M25" s="94"/>
      <c r="N25" s="94"/>
      <c r="X25" t="s">
        <v>25</v>
      </c>
    </row>
    <row r="26" spans="1:24">
      <c r="A26" s="275" t="s">
        <v>6458</v>
      </c>
      <c r="B26" s="275" t="s">
        <v>4219</v>
      </c>
      <c r="C26" s="277">
        <v>1019</v>
      </c>
      <c r="D26" s="275">
        <v>1</v>
      </c>
      <c r="E26" s="298" t="s">
        <v>5867</v>
      </c>
      <c r="F26" s="314">
        <v>390</v>
      </c>
      <c r="G26" s="298">
        <v>1</v>
      </c>
      <c r="H26" s="298"/>
      <c r="I26" s="314">
        <f>C26*D26*0.99114-F26*G26*1.00125</f>
        <v>619.48415999999997</v>
      </c>
      <c r="J26" s="97">
        <f>(G26*$R$6*0.99875+I26)/(R2*1.0037158)</f>
        <v>0.52886958219055802</v>
      </c>
      <c r="K26" s="97">
        <f>J26-D26</f>
        <v>-0.47113041780944198</v>
      </c>
      <c r="L26" s="97"/>
      <c r="M26" s="97"/>
      <c r="N26" s="97"/>
    </row>
    <row r="27" spans="1:24">
      <c r="A27" s="94"/>
      <c r="B27" s="94"/>
      <c r="C27" s="94"/>
      <c r="D27" s="94"/>
      <c r="E27" s="94"/>
      <c r="F27" s="94"/>
      <c r="G27" s="94"/>
      <c r="H27" s="94"/>
      <c r="I27" s="94"/>
      <c r="J27" s="94"/>
      <c r="K27" s="94"/>
      <c r="L27" s="94"/>
      <c r="M27" s="94"/>
      <c r="N27" s="94"/>
    </row>
    <row r="28" spans="1:24">
      <c r="A28" s="113"/>
      <c r="B28" s="113"/>
      <c r="C28" s="113"/>
      <c r="D28" s="113"/>
      <c r="E28" s="113"/>
      <c r="F28" s="113"/>
      <c r="G28" s="113"/>
      <c r="H28" s="113"/>
      <c r="I28" s="113"/>
      <c r="J28" s="113"/>
      <c r="K28" s="113"/>
      <c r="L28" s="113"/>
      <c r="M28" s="113"/>
      <c r="N28" s="113"/>
    </row>
    <row r="29" spans="1:24">
      <c r="A29" s="97" t="s">
        <v>5528</v>
      </c>
      <c r="B29" s="97"/>
      <c r="C29" s="97"/>
      <c r="D29" s="97"/>
      <c r="E29" s="97"/>
      <c r="F29" s="97"/>
      <c r="G29" s="97"/>
      <c r="H29" s="97"/>
      <c r="I29" s="97"/>
      <c r="J29" s="97"/>
      <c r="K29" s="97"/>
      <c r="L29" s="97"/>
      <c r="M29" s="97"/>
      <c r="N29" s="97"/>
      <c r="S29" t="s">
        <v>25</v>
      </c>
    </row>
    <row r="30" spans="1:24">
      <c r="A30" s="273" t="s">
        <v>5752</v>
      </c>
      <c r="B30" s="273" t="s">
        <v>4361</v>
      </c>
      <c r="C30" s="273">
        <v>21532</v>
      </c>
      <c r="D30" s="273">
        <v>1859</v>
      </c>
      <c r="E30" s="275" t="s">
        <v>4219</v>
      </c>
      <c r="F30" s="275">
        <v>1187</v>
      </c>
      <c r="G30" s="275">
        <f>C30*D30*0.99114/(F30*1.0037158)</f>
        <v>33299.467209851166</v>
      </c>
      <c r="H30" s="275">
        <f>C30/F30</f>
        <v>18.139848357203032</v>
      </c>
      <c r="I30" s="275">
        <f>$R$5/$R$2</f>
        <v>18.766066838046271</v>
      </c>
      <c r="J30" s="97">
        <f>I30/H30</f>
        <v>1.0345217042894725</v>
      </c>
      <c r="K30" s="97">
        <f>(1/J30-1.0256)*100</f>
        <v>-5.8969724527126015</v>
      </c>
      <c r="L30" s="97"/>
      <c r="M30" s="97"/>
      <c r="N30" s="97">
        <v>1</v>
      </c>
      <c r="S30" t="s">
        <v>25</v>
      </c>
    </row>
    <row r="31" spans="1:24">
      <c r="A31" s="273" t="s">
        <v>5758</v>
      </c>
      <c r="B31" s="273" t="s">
        <v>4361</v>
      </c>
      <c r="C31" s="273">
        <v>22420.1</v>
      </c>
      <c r="D31" s="273">
        <v>1000</v>
      </c>
      <c r="E31" s="275" t="s">
        <v>4219</v>
      </c>
      <c r="F31" s="275">
        <v>1161</v>
      </c>
      <c r="G31" s="275">
        <f>C31*D31*0.99114/(F31*1.0037158)</f>
        <v>19069.072437793271</v>
      </c>
      <c r="H31" s="275">
        <f>C31/F31</f>
        <v>19.311024978466836</v>
      </c>
      <c r="I31" s="275">
        <f>$R$5/$R$2</f>
        <v>18.766066838046271</v>
      </c>
      <c r="J31" s="97">
        <f>I31/H31</f>
        <v>0.97177994741199747</v>
      </c>
      <c r="K31" s="97">
        <f>(1/J31-1.0256)*100</f>
        <v>0.34395502224109364</v>
      </c>
      <c r="L31" s="97" t="s">
        <v>25</v>
      </c>
      <c r="M31" s="97"/>
      <c r="N31" s="97">
        <f>H31/H30</f>
        <v>1.064563749277361</v>
      </c>
      <c r="W31" t="s">
        <v>25</v>
      </c>
    </row>
    <row r="32" spans="1:24">
      <c r="A32" s="273" t="s">
        <v>5760</v>
      </c>
      <c r="B32" s="273" t="s">
        <v>4361</v>
      </c>
      <c r="C32" s="273">
        <v>23233.1</v>
      </c>
      <c r="D32" s="273">
        <v>1000</v>
      </c>
      <c r="E32" s="275" t="s">
        <v>4219</v>
      </c>
      <c r="F32" s="275">
        <v>1152</v>
      </c>
      <c r="G32" s="275">
        <f>C32*D32*0.99114/(F32*1.0037158)</f>
        <v>19914.936480069027</v>
      </c>
      <c r="H32" s="275">
        <f>C32/F32</f>
        <v>20.167621527777776</v>
      </c>
      <c r="I32" s="275">
        <f>$R$5/$R$2</f>
        <v>18.766066838046271</v>
      </c>
      <c r="J32" s="97">
        <f>I32/H32</f>
        <v>0.9305047108405381</v>
      </c>
      <c r="K32" s="97">
        <f>(1/J32-1.0256)*100</f>
        <v>4.9085585521308817</v>
      </c>
      <c r="L32" s="97"/>
      <c r="M32" s="97"/>
      <c r="N32" s="97">
        <f>H32/H31</f>
        <v>1.0443579017823292</v>
      </c>
    </row>
    <row r="33" spans="1:20">
      <c r="A33" s="273" t="s">
        <v>5762</v>
      </c>
      <c r="B33" s="273" t="s">
        <v>4361</v>
      </c>
      <c r="C33" s="273">
        <v>23900</v>
      </c>
      <c r="D33" s="273">
        <v>1000</v>
      </c>
      <c r="E33" s="275" t="s">
        <v>4219</v>
      </c>
      <c r="F33" s="275">
        <v>1153</v>
      </c>
      <c r="G33" s="275">
        <f>C33*D33*0.99114/(F33*1.0037158)</f>
        <v>20468.821398374203</v>
      </c>
      <c r="H33" s="275">
        <f>C33/F33</f>
        <v>20.7285342584562</v>
      </c>
      <c r="I33" s="275">
        <f>$R$5/$R$2</f>
        <v>18.766066838046271</v>
      </c>
      <c r="J33" s="97">
        <f>I33/H33</f>
        <v>0.90532531649654191</v>
      </c>
      <c r="K33" s="97">
        <f>(1/J33-1.0256)*100</f>
        <v>7.8975318704035846</v>
      </c>
      <c r="L33" s="97"/>
      <c r="M33" s="97"/>
      <c r="N33" s="97">
        <f>H33/H32</f>
        <v>1.0278125375322942</v>
      </c>
      <c r="T33" t="s">
        <v>25</v>
      </c>
    </row>
    <row r="34" spans="1:20">
      <c r="A34" s="273" t="s">
        <v>5775</v>
      </c>
      <c r="B34" s="273" t="s">
        <v>4361</v>
      </c>
      <c r="C34" s="273">
        <v>22500</v>
      </c>
      <c r="D34" s="273">
        <v>2000</v>
      </c>
      <c r="E34" s="275" t="s">
        <v>4219</v>
      </c>
      <c r="F34" s="275">
        <v>1093</v>
      </c>
      <c r="G34" s="275">
        <f>C34*D34*0.99114/(F34*1.0037158)</f>
        <v>40655.246136679802</v>
      </c>
      <c r="H34" s="275">
        <f>C34/F34</f>
        <v>20.585544373284538</v>
      </c>
      <c r="I34" s="275">
        <f>$R$5/$R$2</f>
        <v>18.766066838046271</v>
      </c>
      <c r="J34" s="97">
        <f>I34/H34</f>
        <v>0.91161382462153662</v>
      </c>
      <c r="K34" s="97">
        <f>(1/J34-1.0256)*100</f>
        <v>7.1355720713381476</v>
      </c>
      <c r="L34" s="97"/>
      <c r="M34" s="97"/>
      <c r="N34" s="97">
        <f>H34/H33</f>
        <v>0.99310178503753443</v>
      </c>
    </row>
    <row r="35" spans="1:20">
      <c r="A35" s="94"/>
      <c r="N35" s="94"/>
      <c r="P35" s="112"/>
      <c r="Q35" s="112"/>
      <c r="T35" t="s">
        <v>25</v>
      </c>
    </row>
    <row r="36" spans="1:20">
      <c r="A36" s="94"/>
      <c r="N36" s="94"/>
    </row>
    <row r="37" spans="1:20">
      <c r="A37" s="94"/>
    </row>
    <row r="38" spans="1:20">
      <c r="A38" s="97"/>
      <c r="B38" s="97"/>
      <c r="C38" s="97"/>
      <c r="D38" s="97"/>
      <c r="G38" t="s">
        <v>6510</v>
      </c>
      <c r="S38" t="s">
        <v>25</v>
      </c>
      <c r="T38" t="s">
        <v>25</v>
      </c>
    </row>
    <row r="39" spans="1:20">
      <c r="A39" s="97" t="s">
        <v>5867</v>
      </c>
      <c r="B39" s="97">
        <v>620</v>
      </c>
      <c r="C39" s="97">
        <v>164000</v>
      </c>
      <c r="D39" s="93">
        <f>C39*B39</f>
        <v>101680000</v>
      </c>
      <c r="G39">
        <v>2760</v>
      </c>
      <c r="H39">
        <v>932</v>
      </c>
    </row>
    <row r="40" spans="1:20">
      <c r="A40" s="97" t="s">
        <v>6479</v>
      </c>
      <c r="B40" s="97">
        <v>720</v>
      </c>
      <c r="C40" s="97">
        <v>0</v>
      </c>
      <c r="D40" s="93">
        <f>C40*B40</f>
        <v>0</v>
      </c>
      <c r="J40" t="s">
        <v>25</v>
      </c>
      <c r="Q40" t="s">
        <v>25</v>
      </c>
    </row>
    <row r="41" spans="1:20">
      <c r="A41" s="97" t="s">
        <v>5859</v>
      </c>
      <c r="B41" s="97">
        <v>820</v>
      </c>
      <c r="C41" s="97">
        <v>0</v>
      </c>
      <c r="D41" s="93">
        <f>C41*B41</f>
        <v>0</v>
      </c>
      <c r="Q41" t="s">
        <v>25</v>
      </c>
    </row>
    <row r="42" spans="1:20">
      <c r="A42" s="97"/>
      <c r="B42" s="97"/>
      <c r="C42" s="97"/>
      <c r="D42" s="93"/>
      <c r="G42" t="s">
        <v>6511</v>
      </c>
      <c r="R42" t="s">
        <v>25</v>
      </c>
    </row>
    <row r="43" spans="1:20">
      <c r="A43" s="97"/>
      <c r="B43" s="97"/>
      <c r="C43" s="97"/>
      <c r="D43" s="93"/>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t="s">
        <v>25</v>
      </c>
      <c r="D49" s="93"/>
    </row>
    <row r="50" spans="1:19">
      <c r="A50" s="97"/>
      <c r="B50" s="97"/>
      <c r="C50" s="97"/>
      <c r="D50" s="93">
        <f>SUM(D39:D47)</f>
        <v>101680000</v>
      </c>
      <c r="R50" t="s">
        <v>25</v>
      </c>
    </row>
    <row r="51" spans="1:19">
      <c r="A51" s="97"/>
      <c r="B51" s="97"/>
      <c r="C51" s="97"/>
      <c r="D51" s="97"/>
    </row>
    <row r="52" spans="1:19">
      <c r="A52" s="97" t="s">
        <v>6486</v>
      </c>
      <c r="B52" s="93">
        <v>94000000</v>
      </c>
      <c r="C52" s="97"/>
      <c r="D52" s="97"/>
    </row>
    <row r="53" spans="1:19">
      <c r="A53" s="97"/>
      <c r="B53" s="97"/>
      <c r="C53" s="97"/>
      <c r="D53" s="97"/>
    </row>
    <row r="54" spans="1:19">
      <c r="A54" s="97" t="s">
        <v>4595</v>
      </c>
      <c r="B54" s="93">
        <f>D50-B52</f>
        <v>7680000</v>
      </c>
      <c r="C54" s="97"/>
      <c r="D54" s="97"/>
    </row>
    <row r="55" spans="1:19">
      <c r="A55" s="94"/>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0:K3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1169</v>
      </c>
      <c r="H4" s="115">
        <f>C4*G4</f>
        <v>344855000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372447261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1169</v>
      </c>
      <c r="H19" s="115">
        <f>C19*G19</f>
        <v>15122184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296818312</v>
      </c>
    </row>
    <row r="26" spans="1:8">
      <c r="D26" t="s">
        <v>5403</v>
      </c>
      <c r="E26" s="112">
        <f>'خرید خانه'!H10+'خرید خانه'!H23-'خرید خانه'!D10-'خرید خانه'!D23</f>
        <v>367565573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2021-06-27T04:34:59Z</dcterms:modified>
</cp:coreProperties>
</file>