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1451191-2319-4220-BF9F-B699E0CD8AAB}"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18" i="63" l="1"/>
  <c r="J18" i="63" s="1"/>
  <c r="K18" i="63" s="1"/>
  <c r="H18" i="63"/>
  <c r="G18" i="63"/>
  <c r="E46" i="18" l="1"/>
  <c r="M3" i="60" l="1"/>
  <c r="M4" i="60"/>
  <c r="M5" i="60"/>
  <c r="M6" i="60"/>
  <c r="M7" i="60"/>
  <c r="M8" i="60"/>
  <c r="M2" i="60"/>
  <c r="D34" i="18" l="1"/>
  <c r="B34" i="18" s="1"/>
  <c r="H37" i="18" l="1"/>
  <c r="I35" i="18"/>
  <c r="H13" i="18" l="1"/>
  <c r="G15" i="63"/>
  <c r="H15" i="63"/>
  <c r="G14" i="63" l="1"/>
  <c r="H14" i="63"/>
  <c r="J42" i="63"/>
  <c r="K42" i="63" s="1"/>
  <c r="L42" i="63" s="1"/>
  <c r="F31" i="18"/>
  <c r="B136" i="18"/>
  <c r="G13" i="63"/>
  <c r="H13" i="63"/>
  <c r="G12" i="63"/>
  <c r="H12" i="63"/>
  <c r="G11" i="63"/>
  <c r="H11" i="63"/>
  <c r="B134"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3" i="63" l="1"/>
  <c r="K43" i="63" s="1"/>
  <c r="L43" i="63" s="1"/>
  <c r="M43" i="63" s="1"/>
  <c r="T23" i="63"/>
  <c r="N43" i="63" l="1"/>
  <c r="O43" i="63" s="1"/>
  <c r="Q43" i="63" l="1"/>
  <c r="S43" i="63" s="1"/>
  <c r="P43"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9" i="18" l="1"/>
  <c r="B135" i="18"/>
  <c r="B133" i="18"/>
  <c r="S20" i="63"/>
  <c r="R498" i="18" l="1"/>
  <c r="R497" i="18"/>
  <c r="R496" i="18" l="1"/>
  <c r="S26" i="63"/>
  <c r="S27" i="63"/>
  <c r="D22" i="18" l="1"/>
  <c r="B22" i="18" s="1"/>
  <c r="E29" i="80"/>
  <c r="E28" i="80"/>
  <c r="S48"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s="1"/>
  <c r="H2" i="18" l="1"/>
  <c r="H17" i="18" s="1"/>
  <c r="J55" i="18"/>
  <c r="K55" i="18" s="1"/>
  <c r="AL515" i="18"/>
  <c r="AL516" i="18" s="1"/>
  <c r="AO94" i="18"/>
  <c r="AN93" i="18"/>
  <c r="AN311" i="18"/>
  <c r="AO312" i="18"/>
  <c r="E34" i="18" l="1"/>
  <c r="E45" i="18"/>
  <c r="E33" i="18"/>
  <c r="E30" i="18"/>
  <c r="E29" i="18"/>
  <c r="E31"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<sst xmlns="http://schemas.openxmlformats.org/spreadsheetml/2006/main" count="17019" uniqueCount="7049">
  <si>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</si>
  <si>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</si>
  <si>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</si>
  <si>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</si>
  <si>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</si>
  <si>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</si>
  <si>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</si>
  <si>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</si>
  <si>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</si>
  <si>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</si>
  <si>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</si>
  <si>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</si>
  <si>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</si>
  <si>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</si>
  <si>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</si>
  <si>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</si>
  <si>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</si>
  <si>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</si>
  <si>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</si>
  <si>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</si>
  <si>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</si>
  <si>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</si>
  <si>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</si>
  <si>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</si>
  <si>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</si>
  <si>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</si>
  <si>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</si>
  <si>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</si>
  <si>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</si>
  <si>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</si>
  <si>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</si>
  <si>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</si>
  <si>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</si>
  <si>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</si>
  <si>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</si>
  <si>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</si>
  <si>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</si>
  <si>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</si>
  <si>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</si>
  <si>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</si>
  <si>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</si>
  <si>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</si>
  <si>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</si>
  <si>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</si>
  <si>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</si>
  <si>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</si>
  <si>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</si>
  <si>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</si>
  <si>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</si>
  <si>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</si>
  <si>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</si>
  <si>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</si>
  <si>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</si>
  <si>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</si>
  <si>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</si>
  <si>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</si>
  <si>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</si>
  <si>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</si>
  <si>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</si>
  <si>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</si>
  <si>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</si>
  <si>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</si>
  <si>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</si>
  <si>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</si>
  <si>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</si>
  <si>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</si>
  <si>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</si>
  <si>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</si>
  <si>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</si>
  <si>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</si>
  <si>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</si>
  <si>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</si>
  <si>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</si>
  <si>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</si>
  <si>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</si>
  <si>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</si>
  <si>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</si>
  <si>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</si>
  <si>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</si>
  <si>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</si>
  <si>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</si>
  <si>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</si>
  <si>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</si>
  <si>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</si>
  <si>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</si>
  <si>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</si>
  <si>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</si>
  <si>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</si>
  <si>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</si>
  <si>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</si>
  <si>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</si>
  <si>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</si>
  <si>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</si>
  <si>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</si>
  <si>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</si>
  <si>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</si>
  <si>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</si>
  <si>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</si>
  <si>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</si>
  <si>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</si>
  <si>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</si>
  <si>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</si>
  <si>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</si>
  <si>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</si>
  <si>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</si>
  <si>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</si>
  <si>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</si>
  <si>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</si>
  <si>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</si>
  <si>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</si>
  <si>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</si>
  <si>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</si>
  <si>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</si>
  <si>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</si>
  <si>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</si>
  <si>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</si>
  <si>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</si>
  <si>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</si>
  <si>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</si>
  <si>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</si>
  <si>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</si>
  <si>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</si>
  <si>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</si>
  <si>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</si>
  <si>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</si>
  <si>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</si>
  <si>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</si>
  <si>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</si>
  <si>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</si>
  <si>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</si>
  <si>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</si>
  <si>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</si>
  <si>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</si>
  <si>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</si>
  <si>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</si>
  <si>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</si>
  <si>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</si>
  <si>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</si>
  <si>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</si>
  <si>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</si>
  <si>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</si>
  <si>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</si>
  <si>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</si>
  <si>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</si>
  <si>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</si>
  <si>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</si>
  <si>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</si>
  <si>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</si>
  <si>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</si>
  <si>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</si>
  <si>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</si>
  <si>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</si>
  <si>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</si>
  <si>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</si>
  <si>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</si>
  <si>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</si>
  <si>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</si>
  <si>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</si>
  <si>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</si>
  <si>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</si>
  <si>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</si>
  <si>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</si>
  <si>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</si>
  <si>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</si>
  <si>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</si>
  <si>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</si>
  <si>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</si>
  <si>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</si>
  <si>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</si>
  <si>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</si>
  <si>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</si>
  <si>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</si>
  <si>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</si>
  <si>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</si>
  <si>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</si>
  <si>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</si>
  <si>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</si>
  <si>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</si>
  <si>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</si>
  <si>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</si>
  <si>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</si>
  <si>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</si>
  <si>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</si>
  <si>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</si>
  <si>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</si>
  <si>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</si>
  <si>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</si>
  <si>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</si>
  <si>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</si>
  <si>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</si>
  <si>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</si>
  <si>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</si>
  <si>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</si>
  <si>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</si>
  <si>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</si>
  <si>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</si>
  <si>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</si>
  <si>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</si>
  <si>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</si>
  <si>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</si>
  <si>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</si>
  <si>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</si>
  <si>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</si>
  <si>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</si>
  <si>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</si>
  <si>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</si>
  <si>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</si>
  <si>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</si>
  <si>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</si>
  <si>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</si>
  <si>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</si>
  <si>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</si>
  <si>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</si>
  <si>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</si>
  <si>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</si>
  <si>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</si>
  <si>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</si>
  <si>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</si>
  <si>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</si>
  <si>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</si>
  <si>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</si>
  <si>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</si>
  <si>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</si>
  <si>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</si>
  <si>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</si>
  <si>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</si>
  <si>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</si>
  <si>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</si>
  <si>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</si>
  <si>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</si>
  <si>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</si>
  <si>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</si>
  <si>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</si>
  <si>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</si>
  <si>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</si>
  <si>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</si>
  <si>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</si>
  <si>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</si>
  <si>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</si>
  <si>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</si>
  <si>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</si>
  <si>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</si>
  <si>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</si>
  <si>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</si>
  <si>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</si>
  <si>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</si>
  <si>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</si>
  <si>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</si>
  <si>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</si>
  <si>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</si>
  <si>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</si>
  <si>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</si>
  <si>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</si>
  <si>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</si>
  <si>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</si>
  <si>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</si>
  <si>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</si>
  <si>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</si>
  <si>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</si>
  <si>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</si>
  <si>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</si>
  <si>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</si>
  <si>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</si>
  <si>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</si>
  <si>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</si>
  <si>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</si>
  <si>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</si>
  <si>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</si>
  <si>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</si>
  <si>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</si>
  <si>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</si>
  <si>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</si>
  <si>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</si>
  <si>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</si>
  <si>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</si>
  <si>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</si>
  <si>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</si>
  <si>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</si>
  <si>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</si>
  <si>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</si>
  <si>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</si>
  <si>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</si>
  <si>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</si>
  <si>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</si>
  <si>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</si>
  <si>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</si>
  <si>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</si>
  <si>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</si>
  <si>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</si>
  <si>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</si>
  <si>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</si>
  <si>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</si>
  <si>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</si>
  <si>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</si>
  <si>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</si>
  <si>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</si>
  <si>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</si>
  <si>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</si>
  <si>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</si>
  <si>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</si>
  <si>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</si>
  <si>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</si>
  <si>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</si>
  <si>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</si>
  <si>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</si>
  <si>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</si>
  <si>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</si>
  <si>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</si>
  <si>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</si>
  <si>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</si>
  <si>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</si>
  <si>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</si>
  <si>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</si>
  <si>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</si>
  <si>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</si>
  <si>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</si>
  <si>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</si>
  <si>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</si>
  <si>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</si>
  <si>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</si>
  <si>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</si>
  <si>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</si>
  <si>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</si>
  <si>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</si>
  <si>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</si>
  <si>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</si>
  <si>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</si>
  <si>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</si>
  <si>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</si>
  <si>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</si>
  <si>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</si>
  <si>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</si>
  <si>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</si>
  <si>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</si>
  <si>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</si>
  <si>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</si>
  <si>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</si>
  <si>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</si>
  <si>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</si>
  <si>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</si>
  <si>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</si>
  <si>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</si>
  <si>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</si>
  <si>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</si>
  <si>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</si>
  <si>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</si>
  <si>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</si>
  <si>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</si>
  <si>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</si>
  <si>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</si>
  <si>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</si>
  <si>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</si>
  <si>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</si>
  <si>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</si>
  <si>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</si>
  <si>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</si>
  <si>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</si>
  <si>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</si>
  <si>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</si>
  <si>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</si>
  <si>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</si>
  <si>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</si>
  <si>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</si>
  <si>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</si>
  <si>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</si>
  <si>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</si>
  <si>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</si>
  <si>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</si>
  <si>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</si>
  <si>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</si>
  <si>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</si>
  <si>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</si>
  <si>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</si>
  <si>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</si>
  <si>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</si>
  <si>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</si>
  <si>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</si>
  <si>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</si>
  <si>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</si>
  <si>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</si>
  <si>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</si>
  <si>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</si>
  <si>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</si>
  <si>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</si>
  <si>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</si>
  <si>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</si>
  <si>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</si>
  <si>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</si>
  <si>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</si>
  <si>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</si>
  <si>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</si>
  <si>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</si>
  <si>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</si>
  <si>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</si>
  <si>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</si>
  <si>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</si>
  <si>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</si>
  <si>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</si>
  <si>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</si>
  <si>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</si>
  <si>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</si>
  <si>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</si>
  <si>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</si>
  <si>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</si>
  <si>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</si>
  <si>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</si>
  <si>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</si>
  <si>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</si>
  <si>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</si>
  <si>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</si>
  <si>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</si>
  <si>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</si>
  <si>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</si>
  <si>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</si>
  <si>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</si>
  <si>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</si>
  <si>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</si>
  <si>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</si>
  <si>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</si>
  <si>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</si>
  <si>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</si>
  <si>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</si>
  <si>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</si>
  <si>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</si>
  <si>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</si>
  <si>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</si>
  <si>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</si>
  <si>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</si>
  <si>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</si>
  <si>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</si>
  <si>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</si>
  <si>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</si>
  <si>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</si>
  <si>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</si>
  <si>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</si>
  <si>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</si>
  <si>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</si>
  <si>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</si>
  <si>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</si>
  <si>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</si>
  <si>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</si>
  <si>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</si>
  <si>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</si>
  <si>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</si>
  <si>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</si>
  <si>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</si>
  <si>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</si>
  <si>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</si>
  <si>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</si>
  <si>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</si>
  <si>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</si>
  <si>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</si>
  <si>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</si>
  <si>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</si>
  <si>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</si>
  <si>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</si>
  <si>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</si>
  <si>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</si>
  <si>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</si>
  <si>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</si>
  <si>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</si>
  <si>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</si>
  <si>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</si>
  <si>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</si>
  <si>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</si>
  <si>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</si>
  <si>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</si>
  <si>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</si>
  <si>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</si>
  <si>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</si>
  <si>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</si>
  <si>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</si>
  <si>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</si>
  <si>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</si>
  <si>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</si>
  <si>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</si>
  <si>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</si>
  <si>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</si>
  <si>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</si>
  <si>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</si>
  <si>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</si>
  <si>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</si>
  <si>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</si>
  <si>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</si>
  <si>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</si>
  <si>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</si>
  <si>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</si>
  <si>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</si>
  <si>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</si>
  <si>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</si>
  <si>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</si>
  <si>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</si>
  <si>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</si>
  <si>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</si>
  <si>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</si>
  <si>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</si>
  <si>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</si>
  <si>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</si>
  <si>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</si>
  <si>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</si>
  <si>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</si>
  <si>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</si>
  <si>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</si>
  <si>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</si>
  <si>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</si>
  <si>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</si>
  <si>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</si>
  <si>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</si>
  <si>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</si>
  <si>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</si>
  <si>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</si>
  <si>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</si>
  <si>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</si>
  <si>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</si>
  <si>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</si>
  <si>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</si>
  <si>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</si>
  <si>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</si>
  <si>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</si>
  <si>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</si>
  <si>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</si>
  <si>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</si>
  <si>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</si>
  <si>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</si>
  <si>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</si>
  <si>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</si>
  <si>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</si>
  <si>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</si>
  <si>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</si>
  <si>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</si>
  <si>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</si>
  <si>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</si>
  <si>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</si>
  <si>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</si>
  <si>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</si>
  <si>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</si>
  <si>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</si>
  <si>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</si>
  <si>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</si>
  <si>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</si>
  <si>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</si>
  <si>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</si>
  <si>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</si>
  <si>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</si>
  <si>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</si>
  <si>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</si>
  <si>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</si>
  <si>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</si>
  <si>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</si>
  <si>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</si>
  <si>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</si>
  <si>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</si>
  <si>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</si>
  <si>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</si>
  <si>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</si>
  <si>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</si>
  <si>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</si>
  <si>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</si>
  <si>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</si>
  <si>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</si>
  <si>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</si>
  <si>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</si>
  <si>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</si>
  <si>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</si>
  <si>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</si>
  <si>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</si>
  <si>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</si>
  <si>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</si>
  <si>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</si>
  <si>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</si>
  <si>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</si>
  <si>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</si>
  <si>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</si>
  <si>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</si>
  <si>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</si>
  <si>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</si>
  <si>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</si>
  <si>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</si>
  <si>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</si>
  <si>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</si>
  <si>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</si>
  <si>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</si>
  <si>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</si>
  <si>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</si>
  <si>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</si>
  <si>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</si>
  <si>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</si>
  <si>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</si>
  <si>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</si>
  <si>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</si>
  <si>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</si>
  <si>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</si>
  <si>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</si>
  <si>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</si>
  <si>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</si>
  <si>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</si>
  <si>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</si>
  <si>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</si>
  <si>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</si>
  <si>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</si>
  <si>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</si>
  <si>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</si>
  <si>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</si>
  <si>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</si>
  <si>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</si>
  <si>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</si>
  <si>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</si>
  <si>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</si>
  <si>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</si>
  <si>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</si>
  <si>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</si>
  <si>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</si>
  <si>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</si>
  <si>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</si>
  <si>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</si>
  <si>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</si>
  <si>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</si>
  <si>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</si>
  <si>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</si>
  <si>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</si>
  <si>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</si>
  <si>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</si>
  <si>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</si>
  <si>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</si>
  <si>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</si>
  <si>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</si>
  <si>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</si>
  <si>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</si>
  <si>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</si>
  <si>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</si>
  <si>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</si>
  <si>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</si>
  <si>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</si>
  <si>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</si>
  <si>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</si>
  <si>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</si>
  <si>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</si>
  <si>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</si>
  <si>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</si>
  <si>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</si>
  <si>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</si>
  <si>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</si>
  <si>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</si>
  <si>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</si>
  <si>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</si>
  <si>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</si>
  <si>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</si>
  <si>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</si>
  <si>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</si>
  <si>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</si>
  <si>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</si>
  <si>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</si>
  <si>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</si>
  <si>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</si>
  <si>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</si>
  <si>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</si>
  <si>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</si>
  <si>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</si>
  <si>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</si>
  <si>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</si>
  <si>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</si>
  <si>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</si>
  <si>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</si>
  <si>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</si>
  <si>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</si>
  <si>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</si>
  <si>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</si>
  <si>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</si>
  <si>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</si>
  <si>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</si>
  <si>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</si>
  <si>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</si>
  <si>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</si>
  <si>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</si>
  <si>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</si>
  <si>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</si>
  <si>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</si>
  <si>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</si>
  <si>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</si>
  <si>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</si>
  <si>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</si>
  <si>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</si>
  <si>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</si>
  <si>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</si>
  <si>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</si>
  <si>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</si>
  <si>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</si>
  <si>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</si>
  <si>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</si>
  <si>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</si>
  <si>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</si>
  <si>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</si>
  <si>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</si>
  <si>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</si>
  <si>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</si>
  <si>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</si>
  <si>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</si>
  <si>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</si>
  <si>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</si>
  <si>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</si>
  <si>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</si>
  <si>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</si>
  <si>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</si>
  <si>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</si>
  <si>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</si>
  <si>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</si>
  <si>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</si>
  <si>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</si>
  <si>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</si>
  <si>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</si>
  <si>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</si>
  <si>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</si>
  <si>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</si>
  <si>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</si>
  <si>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</si>
  <si>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</si>
  <si>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</si>
  <si>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</si>
  <si>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</si>
  <si>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</si>
  <si>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</si>
  <si>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</si>
  <si>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</si>
  <si>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</si>
  <si>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</si>
  <si>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</si>
  <si>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</si>
  <si>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</si>
  <si>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</si>
  <si>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</si>
  <si>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</si>
  <si>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</si>
  <si>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</si>
  <si>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</si>
  <si>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</si>
  <si>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</si>
  <si>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</si>
  <si>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</si>
  <si>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</si>
  <si>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</si>
  <si>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</si>
  <si>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</si>
  <si>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</si>
  <si>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</si>
  <si>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</si>
  <si>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</si>
  <si>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</si>
  <si>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</si>
  <si>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</si>
  <si>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</si>
  <si>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</si>
  <si>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</si>
  <si>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</si>
  <si>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</si>
  <si>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</si>
  <si>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</si>
  <si>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</si>
  <si>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</si>
  <si>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</si>
  <si>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</si>
  <si>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</si>
  <si>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</si>
  <si>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</si>
  <si>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</si>
  <si>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</si>
  <si>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</si>
  <si>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</si>
  <si>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</si>
  <si>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</si>
  <si>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</si>
  <si>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</si>
  <si>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</si>
  <si>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</si>
  <si>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</si>
  <si>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</si>
  <si>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</si>
  <si>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</si>
  <si>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</si>
  <si>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</si>
  <si>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</si>
  <si>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</si>
  <si>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</si>
  <si>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</si>
  <si>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</si>
  <si>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</si>
  <si>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</si>
  <si>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</si>
  <si>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</si>
  <si>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</si>
  <si>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</si>
  <si>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</si>
  <si>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</si>
  <si>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</si>
  <si>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</si>
  <si>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</si>
  <si>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</si>
  <si>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</si>
  <si>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</si>
  <si>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</si>
  <si>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</si>
  <si>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</si>
  <si>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</si>
  <si>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</si>
  <si>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</si>
  <si>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</si>
  <si>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</si>
  <si>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</si>
  <si>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</si>
  <si>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</si>
  <si>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</si>
  <si>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</si>
  <si>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</si>
  <si>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</si>
  <si>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</si>
  <si>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</si>
  <si>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</si>
  <si>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</si>
  <si>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</si>
  <si>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</si>
  <si>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</si>
  <si>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</si>
  <si>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</si>
  <si>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</si>
  <si>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</si>
  <si>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</si>
  <si>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</si>
  <si>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</si>
  <si>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</si>
  <si>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</si>
  <si>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</si>
  <si>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</si>
  <si>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</si>
  <si>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</si>
  <si>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</si>
  <si>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</si>
  <si>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</si>
  <si>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</si>
  <si>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</si>
  <si>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</si>
  <si>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</si>
  <si>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</si>
  <si>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</si>
  <si>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</si>
  <si>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</si>
  <si>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</si>
  <si>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</si>
  <si>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</si>
  <si>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</si>
  <si>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</si>
  <si>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</si>
  <si>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</si>
  <si>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</si>
  <si>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</si>
  <si>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</si>
  <si>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</si>
  <si>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</si>
  <si>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</si>
  <si>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</si>
  <si>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</si>
  <si>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</si>
  <si>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</si>
  <si>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</si>
  <si>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</si>
  <si>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</si>
  <si>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</si>
  <si>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</si>
  <si>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</si>
  <si>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</si>
  <si>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</si>
  <si>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</si>
  <si>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</si>
  <si>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</si>
  <si>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</si>
  <si>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</si>
  <si>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</si>
  <si>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</si>
  <si>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</si>
  <si>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</si>
  <si>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</si>
  <si>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</si>
  <si>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</si>
  <si>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</si>
  <si>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</si>
  <si>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</si>
  <si>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</si>
  <si>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</si>
  <si>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</si>
  <si>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</si>
  <si>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</si>
  <si>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</si>
  <si>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</si>
  <si>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</si>
  <si>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</si>
  <si>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</si>
  <si>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</si>
  <si>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</si>
  <si>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</si>
  <si>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</si>
  <si>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</si>
  <si>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</si>
  <si>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</si>
  <si>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</si>
  <si>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</si>
  <si>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</si>
  <si>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</si>
  <si>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</si>
  <si>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</si>
  <si>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</si>
  <si>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</si>
  <si>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</si>
  <si>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</si>
  <si>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</si>
  <si>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</si>
  <si>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</si>
  <si>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</si>
  <si>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</si>
  <si>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</si>
  <si>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</si>
  <si>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</si>
  <si>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</si>
  <si>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</si>
  <si>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</si>
  <si>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</si>
  <si>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</si>
  <si>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</si>
  <si>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</si>
  <si>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</si>
  <si>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</si>
  <si>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</si>
  <si>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</si>
  <si>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</si>
  <si>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</si>
  <si>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</si>
  <si>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</si>
  <si>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</si>
  <si>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</si>
  <si>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</si>
  <si>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</si>
  <si>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</si>
  <si>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</si>
  <si>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</si>
  <si>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</si>
  <si>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</si>
  <si>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</si>
  <si>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</si>
  <si>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</si>
  <si>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</si>
  <si>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</si>
  <si>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</si>
  <si>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</si>
  <si>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</si>
  <si>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</si>
  <si>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</si>
  <si>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</si>
  <si>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</si>
  <si>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</si>
  <si>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</si>
  <si>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</si>
  <si>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</si>
  <si>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</si>
  <si>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</si>
  <si>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</si>
  <si>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</si>
  <si>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</si>
  <si>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</si>
  <si>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</si>
  <si>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</si>
  <si>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</si>
  <si>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</si>
  <si>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</si>
  <si>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</si>
  <si>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</si>
  <si>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</si>
  <si>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</si>
  <si>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</si>
  <si>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</si>
  <si>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</si>
  <si>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</si>
  <si>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</si>
  <si>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</si>
  <si>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</si>
  <si>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</si>
  <si>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</si>
  <si>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</si>
  <si>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</si>
  <si>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</si>
  <si>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</si>
  <si>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</si>
  <si>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</si>
  <si>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</si>
  <si>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</si>
  <si>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</si>
  <si>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</si>
  <si>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</si>
  <si>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</si>
  <si>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</si>
  <si>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</si>
  <si>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</si>
  <si>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</si>
  <si>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</si>
  <si>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</si>
  <si>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</si>
  <si>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</si>
  <si>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</si>
  <si>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</si>
  <si>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</si>
  <si>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</si>
  <si>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</si>
  <si>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</si>
  <si>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</si>
  <si>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</si>
  <si>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</si>
  <si>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</si>
  <si>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</si>
  <si>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</si>
  <si>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</si>
  <si>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</si>
  <si>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</si>
  <si>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</si>
  <si>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</si>
  <si>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</si>
  <si>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</si>
  <si>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</si>
  <si>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</si>
  <si>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</si>
  <si>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</si>
  <si>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</si>
  <si>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</si>
  <si>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</si>
  <si>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</si>
  <si>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</si>
  <si>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</si>
  <si>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</si>
  <si>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</si>
  <si>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</si>
  <si>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</si>
  <si>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</si>
  <si>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</si>
  <si>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</si>
  <si>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</si>
  <si>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</si>
  <si>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</si>
  <si>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</si>
  <si>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</si>
  <si>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</si>
  <si>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</si>
  <si>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</si>
  <si>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</si>
  <si>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</si>
  <si>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</si>
  <si>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</si>
  <si>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</si>
  <si>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</si>
  <si>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</si>
  <si>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</si>
  <si>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</si>
  <si>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</si>
  <si>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</si>
  <si>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</si>
  <si>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</si>
  <si>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</si>
  <si>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</si>
  <si>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</si>
  <si>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</si>
  <si>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</si>
  <si>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</si>
  <si>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</si>
  <si>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</si>
  <si>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</si>
  <si>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</si>
  <si>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</si>
  <si>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</si>
  <si>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</si>
  <si>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</si>
  <si>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</si>
  <si>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</si>
  <si>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</si>
  <si>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</si>
  <si>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</si>
  <si>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</si>
  <si>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</si>
  <si>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</si>
  <si>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</si>
  <si>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</si>
  <si>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</si>
  <si>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</si>
  <si>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</si>
  <si>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</si>
  <si>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</si>
  <si>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</si>
  <si>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</si>
  <si>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</si>
  <si>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</si>
  <si>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</si>
  <si>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</si>
  <si>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</si>
  <si>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</si>
  <si>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</si>
  <si>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</si>
  <si>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</si>
  <si>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</si>
  <si>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</si>
  <si>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</si>
  <si>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</si>
  <si>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</si>
  <si>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</si>
  <si>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</si>
  <si>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</si>
  <si>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</si>
  <si>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</si>
  <si>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</si>
  <si>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</si>
  <si>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</si>
  <si>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</si>
  <si>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</si>
  <si>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</si>
  <si>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</si>
  <si>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</si>
  <si>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</si>
  <si>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</si>
  <si>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</si>
  <si>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</si>
  <si>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</si>
  <si>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</si>
  <si>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</si>
  <si>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</si>
  <si>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</si>
  <si>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</si>
  <si>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</si>
  <si>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</si>
  <si>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</si>
  <si>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</si>
  <si>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</si>
  <si>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</si>
  <si>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</si>
  <si>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</si>
  <si>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</si>
  <si>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</si>
  <si>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</si>
  <si>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</si>
  <si>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</si>
  <si>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</si>
  <si>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</si>
  <si>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</si>
  <si>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</si>
  <si>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</si>
  <si>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</si>
  <si>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</si>
  <si>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</si>
  <si>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</si>
  <si>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</si>
  <si>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</si>
  <si>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</si>
  <si>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</si>
  <si>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</si>
  <si>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</si>
  <si>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</si>
  <si>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</si>
  <si>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</si>
  <si>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</si>
  <si>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</si>
  <si>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</si>
  <si>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</si>
  <si>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</si>
  <si>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</si>
  <si>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</si>
  <si>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</si>
  <si>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</si>
  <si>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</si>
  <si>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</si>
  <si>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</si>
  <si>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</si>
  <si>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</si>
  <si>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</si>
  <si>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</si>
  <si>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</si>
  <si>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</si>
  <si>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</si>
  <si>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</si>
  <si>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</si>
  <si>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</si>
  <si>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</si>
  <si>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</si>
  <si>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</si>
  <si>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</si>
  <si>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</si>
  <si>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</si>
  <si>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</si>
  <si>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</si>
  <si>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</si>
  <si>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</si>
  <si>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</si>
  <si>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</si>
  <si>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</si>
  <si>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</si>
  <si>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</si>
  <si>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</si>
  <si>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</si>
  <si>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</si>
  <si>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</si>
  <si>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</si>
  <si>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</si>
  <si>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</si>
  <si>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</si>
  <si>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</si>
  <si>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</si>
  <si>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</si>
  <si>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</si>
  <si>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</si>
  <si>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</si>
  <si>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</si>
  <si>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</si>
  <si>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</si>
  <si>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</si>
  <si>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</si>
  <si>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</si>
  <si>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</si>
  <si>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</si>
  <si>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</si>
  <si>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</si>
  <si>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</si>
  <si>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</si>
  <si>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</si>
  <si>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</si>
  <si>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</si>
  <si>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</si>
  <si>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</si>
  <si>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</si>
  <si>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</si>
  <si>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</si>
  <si>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</si>
  <si>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</si>
  <si>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</si>
  <si>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</si>
  <si>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</si>
  <si>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</si>
  <si>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</si>
  <si>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</si>
  <si>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</si>
  <si>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</si>
  <si>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</si>
  <si>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</si>
  <si>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</si>
  <si>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</si>
  <si>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</si>
  <si>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</si>
  <si>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</si>
  <si>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</si>
  <si>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</si>
  <si>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</si>
  <si>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</si>
  <si>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</si>
  <si>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</si>
  <si>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</si>
  <si>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</si>
  <si>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</si>
  <si>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</si>
  <si>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</si>
  <si>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</si>
  <si>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</si>
  <si>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</si>
  <si>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</si>
  <si>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</si>
  <si>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</si>
  <si>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</si>
  <si>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</si>
  <si>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</si>
  <si>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</si>
  <si>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</si>
  <si>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</si>
  <si>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</si>
  <si>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</si>
  <si>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</si>
  <si>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</si>
  <si>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</si>
  <si>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</si>
  <si>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</si>
  <si>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</si>
  <si>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</si>
  <si>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</si>
  <si>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</si>
  <si>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</si>
  <si>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</si>
  <si>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</si>
  <si>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</si>
  <si>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</si>
  <si>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</si>
  <si>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</si>
  <si>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</si>
  <si>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</si>
  <si>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</si>
  <si>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</si>
  <si>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</si>
  <si>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</si>
  <si>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</si>
  <si>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</si>
  <si>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</si>
  <si>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</si>
  <si>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</si>
  <si>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</si>
  <si>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</si>
  <si>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</si>
  <si>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</si>
  <si>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</si>
  <si>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</si>
  <si>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</si>
  <si>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</si>
  <si>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</si>
  <si>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</si>
  <si>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</si>
  <si>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</si>
  <si>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</si>
  <si>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</si>
  <si>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</si>
  <si>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</si>
  <si>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</si>
  <si>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</si>
  <si>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</si>
  <si>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</si>
  <si>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</si>
  <si>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</si>
  <si>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</si>
  <si>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</si>
  <si>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</si>
  <si>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</si>
  <si>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</si>
  <si>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</si>
  <si>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</si>
  <si>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</si>
  <si>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</si>
  <si>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</si>
  <si>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</si>
  <si>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</si>
  <si>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</si>
  <si>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</si>
  <si>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</si>
  <si>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</si>
  <si>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</si>
  <si>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</si>
  <si>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</si>
  <si>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</si>
  <si>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</si>
  <si>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</si>
  <si>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</si>
  <si>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</si>
  <si>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</si>
  <si>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</si>
  <si>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</si>
  <si>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</si>
  <si>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</si>
  <si>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</si>
  <si>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</si>
  <si>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</si>
  <si>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</si>
  <si>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</si>
  <si>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</si>
  <si>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</si>
  <si>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</si>
  <si>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</si>
  <si>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</si>
  <si>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</si>
  <si>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</si>
  <si>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</si>
  <si>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</si>
  <si>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</si>
  <si>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</si>
  <si>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</si>
  <si>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</si>
  <si>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</si>
  <si>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</si>
  <si>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</si>
  <si>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</si>
  <si>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</si>
  <si>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</si>
  <si>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</si>
  <si>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</si>
  <si>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</si>
  <si>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</si>
  <si>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</si>
  <si>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</si>
  <si>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</si>
  <si>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</si>
  <si>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</si>
  <si>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</si>
  <si>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</si>
  <si>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</si>
  <si>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</si>
  <si>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</si>
  <si>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</si>
  <si>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</si>
  <si>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</si>
  <si>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</si>
  <si>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</si>
  <si>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</si>
  <si>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</si>
  <si>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</si>
  <si>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</si>
  <si>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</si>
  <si>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</si>
  <si>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</si>
  <si>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</si>
  <si>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</si>
  <si>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</si>
  <si>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</si>
  <si>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</si>
  <si>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</si>
  <si>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</si>
  <si>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</si>
  <si>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</si>
  <si>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</si>
  <si>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</si>
  <si>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</si>
  <si>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</si>
  <si>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</si>
  <si>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</si>
  <si>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</si>
  <si>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</si>
  <si>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</si>
  <si>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</si>
  <si>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</si>
  <si>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</si>
  <si>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</si>
  <si>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</si>
  <si>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</si>
  <si>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</si>
  <si>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</si>
  <si>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</si>
  <si>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</si>
  <si>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</si>
  <si>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</si>
  <si>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</si>
  <si>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</si>
  <si>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</si>
  <si>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</si>
  <si>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</si>
  <si>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</si>
  <si>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</si>
  <si>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</si>
  <si>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</si>
  <si>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</si>
  <si>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</si>
  <si>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</si>
  <si>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</si>
  <si>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</si>
  <si>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</si>
  <si>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</si>
  <si>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</si>
  <si>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</si>
  <si>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</si>
  <si>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</si>
  <si>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</si>
  <si>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</si>
  <si>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</si>
  <si>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</si>
  <si>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</si>
  <si>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</si>
  <si>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</si>
  <si>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</si>
  <si>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</si>
  <si>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</si>
  <si>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</si>
  <si>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</si>
  <si>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</si>
  <si>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</si>
  <si>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</si>
  <si>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</si>
  <si>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</si>
  <si>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</si>
  <si>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</si>
  <si>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</si>
  <si>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</si>
  <si>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</si>
  <si>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</si>
  <si>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</si>
  <si>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</si>
  <si>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</si>
  <si>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</si>
  <si>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</si>
  <si>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</si>
  <si>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</si>
  <si>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</si>
  <si>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</si>
  <si>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</si>
  <si>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</si>
  <si>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</si>
  <si>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</si>
  <si>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</si>
  <si>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</si>
  <si>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</si>
  <si>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</si>
  <si>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</si>
  <si>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</si>
  <si>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</si>
  <si>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</si>
  <si>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</si>
  <si>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</si>
  <si>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</si>
  <si>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</si>
  <si>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</si>
  <si>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</si>
  <si>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</si>
  <si>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</si>
  <si>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</si>
  <si>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</si>
  <si>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</si>
  <si>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</si>
  <si>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</si>
  <si>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</si>
  <si>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</si>
  <si>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</si>
  <si>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</si>
  <si>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</si>
  <si>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</si>
  <si>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</si>
  <si>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</si>
  <si>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</si>
  <si>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</si>
  <si>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</si>
  <si>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</si>
  <si>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</si>
  <si>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</si>
  <si>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</si>
  <si>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</si>
  <si>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</si>
  <si>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</si>
  <si>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</si>
  <si>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</si>
  <si>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</si>
  <si>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</si>
  <si>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</si>
  <si>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</si>
  <si>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</si>
  <si>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</si>
  <si>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</si>
  <si>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</si>
  <si>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</si>
  <si>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</si>
  <si>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</si>
  <si>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</si>
  <si>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</si>
  <si>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</si>
  <si>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</si>
  <si>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</si>
  <si>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</si>
  <si>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</si>
  <si>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</si>
  <si>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</si>
  <si>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</si>
  <si>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</si>
  <si>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</si>
  <si>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</si>
  <si>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</si>
  <si>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</si>
  <si>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</si>
  <si>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</si>
  <si>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</si>
  <si>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</si>
  <si>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</si>
  <si>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</si>
  <si>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</si>
  <si>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</si>
  <si>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</si>
  <si>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</si>
  <si>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</si>
  <si>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</si>
  <si>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</si>
  <si>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</si>
  <si>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</si>
  <si>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</si>
  <si>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</si>
  <si>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</si>
  <si>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</si>
  <si>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</si>
  <si>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</si>
  <si>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</si>
  <si>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</si>
  <si>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</si>
  <si>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</si>
  <si>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</si>
  <si>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</si>
  <si>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</si>
  <si>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</si>
  <si>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</si>
  <si>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</si>
  <si>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</si>
  <si>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</si>
  <si>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</si>
  <si>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</si>
  <si>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</si>
  <si>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</si>
  <si>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</si>
  <si>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</si>
  <si>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</si>
  <si>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</si>
  <si>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</si>
  <si>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</si>
  <si>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</si>
  <si>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</si>
  <si>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</si>
  <si>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</si>
  <si>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</si>
  <si>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</si>
  <si>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</si>
  <si>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</si>
  <si>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</si>
  <si>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</si>
  <si>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</si>
  <si>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</si>
  <si>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</si>
  <si>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</si>
  <si>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</si>
  <si>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</si>
  <si>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</si>
  <si>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</si>
  <si>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</si>
  <si>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</si>
  <si>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</si>
  <si>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</si>
  <si>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</si>
  <si>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</si>
  <si>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</si>
  <si>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</si>
  <si>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</si>
  <si>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</si>
  <si>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</si>
  <si>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</si>
  <si>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</si>
  <si>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</si>
  <si>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</si>
  <si>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</si>
  <si>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</si>
  <si>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</si>
  <si>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</si>
  <si>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</si>
  <si>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</si>
  <si>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</si>
  <si>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</si>
  <si>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</si>
  <si>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</si>
  <si>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</si>
  <si>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</si>
  <si>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</si>
  <si>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</si>
  <si>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</si>
  <si>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</si>
  <si>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</si>
  <si>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</si>
  <si>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</si>
  <si>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</si>
  <si>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</si>
  <si>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</si>
  <si>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</si>
  <si>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</si>
  <si>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</si>
  <si>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</si>
  <si>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</si>
  <si>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</si>
  <si>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</si>
  <si>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</si>
  <si>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</si>
  <si>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</si>
  <si>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</si>
  <si>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</si>
  <si>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</si>
  <si>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</si>
  <si>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</si>
  <si>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</si>
  <si>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</si>
  <si>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</si>
  <si>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</si>
  <si>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</si>
  <si>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</si>
  <si>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</si>
  <si>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</si>
  <si>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</si>
  <si>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</si>
  <si>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</si>
  <si>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</si>
  <si>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</si>
  <si>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</si>
  <si>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</si>
  <si>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</si>
  <si>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</si>
  <si>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</si>
  <si>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</si>
  <si>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</si>
  <si>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</si>
  <si>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</si>
  <si>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</si>
  <si>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</si>
  <si>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</si>
  <si>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</si>
  <si>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</si>
  <si>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</si>
  <si>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</si>
  <si>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</si>
  <si>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</si>
  <si>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</si>
  <si>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</si>
  <si>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</si>
  <si>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</si>
  <si>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</si>
  <si>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</si>
  <si>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</si>
  <si>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</si>
  <si>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</si>
  <si>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</si>
  <si>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</si>
  <si>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</si>
  <si>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</si>
  <si>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</si>
  <si>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</si>
  <si>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</si>
  <si>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</si>
  <si>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</si>
  <si>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</si>
  <si>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</si>
  <si>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</si>
  <si>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</si>
  <si>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</si>
  <si>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</si>
  <si>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</si>
  <si>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</si>
  <si>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</si>
  <si>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</si>
  <si>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</si>
  <si>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</si>
  <si>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</si>
  <si>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</si>
  <si>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</si>
  <si>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</si>
  <si>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</si>
  <si>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</si>
  <si>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</si>
  <si>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</si>
  <si>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</si>
  <si>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</si>
  <si>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</si>
  <si>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</si>
  <si>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</si>
  <si>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</si>
  <si>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</si>
  <si>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</si>
  <si>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</si>
  <si>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</si>
  <si>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</si>
  <si>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</si>
  <si>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</si>
  <si>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</si>
  <si>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</si>
  <si>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</si>
  <si>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</si>
  <si>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</si>
  <si>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</si>
  <si>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</si>
  <si>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</si>
  <si>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</si>
  <si>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</si>
  <si>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</si>
  <si>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</si>
  <si>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</si>
  <si>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</si>
  <si>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</si>
  <si>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</si>
  <si>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</si>
  <si>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</si>
  <si>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</si>
  <si>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</si>
  <si>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</si>
  <si>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</si>
  <si>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</si>
  <si>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</si>
  <si>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</si>
  <si>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</si>
  <si>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</si>
  <si>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</si>
  <si>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</si>
  <si>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</si>
  <si>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</si>
  <si>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</si>
  <si>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</si>
  <si>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</si>
  <si>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</si>
  <si>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</si>
  <si>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</si>
  <si>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</si>
  <si>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</si>
  <si>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</si>
  <si>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</si>
  <si>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</si>
  <si>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</si>
  <si>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</si>
  <si>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</si>
  <si>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</si>
  <si>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</si>
  <si>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</si>
  <si>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</si>
  <si>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</si>
  <si>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</si>
  <si>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</si>
  <si>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</si>
  <si>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</si>
  <si>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</si>
  <si>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</si>
  <si>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</si>
  <si>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</si>
  <si>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</si>
  <si>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</si>
  <si>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</si>
  <si>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</si>
  <si>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</si>
  <si>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</si>
  <si>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</si>
  <si>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</si>
  <si>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</si>
  <si>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</si>
  <si>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</si>
  <si>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</si>
  <si>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</si>
  <si>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</si>
  <si>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</si>
  <si>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</si>
  <si>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</si>
  <si>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</si>
  <si>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</si>
  <si>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</si>
  <si>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</si>
  <si>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</si>
  <si>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</si>
  <si>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</si>
  <si>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</si>
  <si>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</si>
  <si>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</si>
  <si>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</si>
  <si>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</si>
  <si>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</si>
  <si>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</si>
  <si>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</si>
  <si>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</si>
  <si>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</si>
  <si>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</si>
  <si>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</si>
  <si>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</si>
  <si>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</si>
  <si>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</si>
  <si>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</si>
  <si>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</si>
  <si>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</si>
  <si>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</si>
  <si>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</si>
  <si>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</si>
  <si>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</si>
  <si>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</si>
  <si>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</si>
  <si>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</si>
  <si>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</si>
  <si>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</si>
  <si>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</si>
  <si>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</si>
  <si>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</si>
  <si>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</si>
  <si>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</si>
  <si>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</si>
  <si>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</si>
  <si>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</si>
  <si>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</si>
  <si>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</si>
  <si>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</si>
  <si>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</si>
  <si>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</si>
  <si>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</si>
  <si>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</si>
  <si>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</si>
  <si>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</si>
  <si>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</si>
  <si>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</si>
  <si>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</si>
  <si>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</si>
  <si>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</si>
  <si>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</si>
  <si>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</si>
  <si>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</si>
  <si>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</si>
  <si>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</si>
  <si>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</si>
  <si>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</si>
  <si>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</si>
  <si>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</si>
  <si>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</si>
  <si>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</si>
  <si>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</si>
  <si>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</si>
  <si>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</si>
  <si>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</si>
  <si>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</si>
  <si>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</si>
  <si>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</si>
  <si>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</si>
  <si>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</si>
  <si>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</si>
  <si>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</si>
  <si>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</si>
  <si>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</si>
  <si>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</si>
  <si>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</si>
  <si>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</si>
  <si>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</si>
  <si>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</si>
  <si>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</si>
  <si>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</si>
  <si>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</si>
  <si>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</si>
  <si>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</si>
  <si>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</si>
  <si>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</si>
  <si>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</si>
  <si>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</si>
  <si>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</si>
  <si>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</si>
  <si>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</si>
  <si>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</si>
  <si>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</si>
  <si>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</si>
  <si>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</si>
  <si>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</si>
  <si>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</si>
  <si>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</si>
  <si>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</si>
  <si>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</si>
  <si>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</si>
  <si>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</si>
  <si>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</si>
  <si>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</si>
  <si>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</si>
  <si>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</si>
  <si>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</si>
  <si>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</si>
  <si>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</si>
  <si>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</si>
  <si>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</si>
  <si>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</si>
  <si>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</si>
  <si>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</si>
  <si>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</si>
  <si>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</si>
  <si>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</si>
  <si>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</si>
  <si>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</si>
  <si>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</si>
  <si>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</si>
  <si>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</si>
  <si>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</si>
  <si>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</si>
  <si>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</si>
  <si>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</si>
  <si>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</si>
  <si>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</si>
  <si>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</si>
  <si>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</si>
  <si>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</si>
  <si>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</si>
  <si>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</si>
  <si>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</si>
  <si>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</si>
  <si>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</si>
  <si>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</si>
  <si>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</si>
  <si>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</si>
  <si>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</si>
  <si>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</si>
  <si>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</si>
  <si>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</si>
  <si>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</si>
  <si>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</si>
  <si>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</si>
  <si>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</si>
  <si>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</si>
  <si>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</si>
  <si>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</si>
  <si>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</si>
  <si>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</si>
  <si>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</si>
  <si>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</si>
  <si>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</si>
  <si>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</si>
  <si>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</si>
  <si>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</si>
  <si>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</si>
  <si>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</si>
  <si>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</si>
  <si>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</si>
  <si>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</si>
  <si>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</si>
  <si>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</si>
  <si>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</si>
  <si>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</si>
  <si>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</si>
  <si>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</si>
  <si>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</si>
  <si>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</si>
  <si>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</si>
  <si>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</si>
  <si>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</si>
  <si>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</si>
  <si>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</si>
  <si>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</si>
  <si>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</si>
  <si>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</si>
  <si>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</si>
  <si>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</si>
  <si>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</si>
  <si>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</si>
  <si>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</si>
  <si>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</si>
  <si>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</si>
  <si>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</si>
  <si>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</si>
  <si>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</si>
  <si>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</si>
  <si>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</si>
  <si>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</si>
  <si>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</si>
  <si>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</si>
  <si>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</si>
  <si>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</si>
  <si>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</si>
  <si>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</si>
  <si>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</si>
  <si>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</si>
  <si>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</si>
  <si>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</si>
  <si>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</si>
  <si>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</si>
  <si>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</si>
  <si>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</si>
  <si>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</si>
  <si>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</si>
  <si>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</si>
  <si>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</si>
  <si>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</si>
  <si>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</si>
  <si>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</si>
  <si>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</si>
  <si>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</si>
  <si>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</si>
  <si>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</si>
  <si>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</si>
  <si>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</si>
  <si>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</si>
  <si>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</si>
  <si>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</si>
  <si>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</si>
  <si>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</si>
  <si>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</si>
  <si>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</si>
  <si>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</si>
  <si>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</si>
  <si>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</si>
  <si>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</si>
  <si>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</si>
  <si>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</si>
  <si>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</si>
  <si>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</si>
  <si>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</si>
  <si>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</si>
  <si>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</si>
  <si>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</si>
  <si>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</si>
  <si>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</si>
  <si>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</si>
  <si>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</si>
  <si>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</si>
  <si>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</si>
  <si>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</si>
  <si>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</si>
  <si>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</si>
  <si>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</si>
  <si>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</si>
  <si>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</si>
  <si>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</si>
  <si>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</si>
  <si>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</si>
  <si>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</si>
  <si>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</si>
  <si>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</si>
  <si>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</si>
  <si>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</si>
  <si>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</si>
  <si>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</si>
  <si>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</si>
  <si>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</si>
  <si>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</si>
  <si>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</si>
  <si>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</si>
  <si>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</si>
  <si>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</si>
  <si>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</si>
  <si>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</si>
  <si>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</si>
  <si>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</si>
  <si>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</si>
  <si>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</si>
  <si>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</si>
  <si>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</si>
  <si>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</si>
  <si>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</si>
  <si>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</si>
  <si>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</si>
  <si>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</si>
  <si>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</si>
  <si>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</si>
  <si>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</si>
  <si>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</si>
  <si>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</si>
  <si>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</si>
  <si>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</si>
  <si>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</si>
  <si>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</si>
  <si>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</si>
  <si>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</si>
  <si>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</si>
  <si>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</si>
  <si>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</si>
  <si>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</si>
  <si>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</si>
  <si>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</si>
  <si>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</si>
  <si>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</si>
  <si>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</si>
  <si>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</si>
  <si>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</si>
  <si>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</si>
  <si>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</si>
  <si>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</si>
  <si>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</si>
  <si>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</si>
  <si>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</si>
  <si>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</si>
  <si>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</si>
  <si>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</si>
  <si>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</si>
  <si>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</si>
  <si>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</si>
  <si>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</si>
  <si>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</si>
  <si>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</si>
  <si>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</si>
  <si>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</si>
  <si>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</si>
  <si>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</si>
  <si>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</si>
  <si>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</si>
  <si>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</si>
  <si>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</si>
  <si>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</si>
  <si>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</si>
  <si>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</si>
  <si>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</si>
  <si>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</si>
  <si>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</si>
  <si>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</si>
  <si>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</si>
  <si>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</si>
  <si>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</si>
  <si>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</si>
  <si>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</si>
  <si>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</si>
  <si>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</si>
  <si>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</si>
  <si>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</si>
  <si>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</si>
  <si>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</si>
  <si>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</si>
  <si>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</si>
  <si>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</si>
  <si>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</si>
  <si>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</si>
  <si>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</si>
  <si>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</si>
  <si>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</si>
  <si>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</si>
  <si>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</si>
  <si>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</si>
  <si>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</si>
  <si>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</si>
  <si>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</si>
  <si>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</si>
  <si>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</si>
  <si>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</si>
  <si>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</si>
  <si>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</si>
  <si>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</si>
  <si>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</si>
  <si>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</si>
  <si>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</si>
  <si>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</si>
  <si>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</si>
  <si>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</si>
  <si>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</si>
  <si>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</si>
  <si>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</si>
  <si>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</si>
  <si>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</si>
  <si>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</si>
  <si>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</si>
  <si>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</si>
  <si>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</si>
  <si>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</si>
  <si>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</si>
  <si>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</si>
  <si>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</si>
  <si>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</si>
  <si>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</si>
  <si>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</si>
  <si>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</si>
  <si>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</si>
  <si>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</si>
  <si>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</si>
  <si>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</si>
  <si>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</si>
  <si>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</si>
  <si>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</si>
  <si>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</si>
  <si>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</si>
  <si>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</si>
  <si>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</si>
  <si>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</si>
  <si>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</si>
  <si>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</si>
  <si>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</si>
  <si>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</si>
  <si>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</si>
  <si>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</si>
  <si>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</si>
  <si>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</si>
  <si>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</si>
  <si>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</si>
  <si>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</si>
  <si>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</si>
  <si>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</si>
  <si>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</si>
  <si>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</si>
  <si>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</si>
  <si>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</si>
  <si>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</si>
  <si>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</si>
  <si>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</si>
  <si>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</si>
  <si>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</si>
  <si>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</si>
  <si>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</si>
  <si>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</si>
  <si>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</si>
  <si>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</si>
  <si>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</si>
  <si>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</si>
  <si>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</si>
  <si>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</si>
  <si>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</si>
  <si>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</si>
  <si>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</si>
  <si>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</si>
  <si>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</si>
  <si>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</si>
  <si>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</si>
  <si>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</si>
  <si>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</si>
  <si>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</si>
  <si>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</si>
  <si>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</si>
  <si>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</si>
  <si>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</si>
  <si>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</si>
  <si>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</si>
  <si>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</si>
  <si>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</si>
  <si>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</si>
  <si>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</si>
  <si>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</si>
  <si>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</si>
  <si>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</si>
  <si>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</si>
  <si>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</si>
  <si>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</si>
  <si>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</si>
  <si>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</si>
  <si>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</si>
  <si>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</si>
  <si>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</si>
  <si>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</si>
  <si>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</si>
  <si>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</si>
  <si>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</si>
  <si>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</si>
  <si>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</si>
  <si>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</si>
  <si>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</si>
  <si>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</si>
  <si>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</si>
  <si>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</si>
  <si>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</si>
  <si>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</si>
  <si>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</si>
  <si>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</si>
  <si>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</si>
  <si>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</si>
  <si>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</si>
  <si>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</si>
  <si>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</si>
  <si>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</si>
  <si>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</si>
  <si>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</si>
  <si>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</si>
  <si>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</si>
  <si>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</si>
  <si>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</si>
  <si>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</si>
  <si>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</si>
  <si>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</si>
  <si>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</si>
  <si>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</si>
  <si>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</si>
  <si>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</si>
  <si>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</si>
  <si>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</si>
  <si>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</si>
  <si>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</si>
  <si>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</si>
  <si>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</si>
  <si>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</si>
  <si>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</si>
  <si>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</si>
  <si>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</si>
  <si>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</si>
  <si>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</si>
  <si>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</si>
  <si>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</si>
  <si>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</si>
  <si>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</si>
  <si>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</si>
  <si>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</si>
  <si>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</si>
  <si>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</si>
  <si>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</si>
  <si>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</si>
  <si>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</si>
  <si>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</si>
  <si>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</si>
  <si>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</si>
  <si>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</si>
  <si>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</si>
  <si>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</si>
  <si>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</si>
  <si>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</si>
  <si>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</si>
  <si>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</si>
  <si>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</si>
  <si>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</si>
  <si>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</si>
  <si>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</si>
  <si>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</si>
  <si>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</si>
  <si>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</si>
  <si>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</si>
  <si>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</si>
  <si>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</si>
  <si>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</si>
  <si>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</si>
  <si>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</si>
  <si>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</si>
  <si>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</si>
  <si>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</si>
  <si>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</si>
  <si>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</si>
  <si>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</si>
  <si>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</si>
  <si>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</si>
  <si>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</si>
  <si>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</si>
  <si>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</si>
  <si>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</si>
  <si>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</si>
  <si>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</si>
  <si>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</si>
  <si>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</si>
  <si>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</si>
  <si>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</si>
  <si>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</si>
  <si>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</si>
  <si>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</si>
  <si>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</si>
  <si>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</si>
  <si>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</si>
  <si>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</si>
  <si>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</si>
  <si>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</si>
  <si>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</si>
  <si>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</si>
  <si>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</si>
  <si>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</si>
  <si>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</si>
  <si>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</si>
  <si>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</si>
  <si>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</si>
  <si>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</si>
  <si>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</si>
  <si>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</si>
  <si>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</si>
  <si>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</si>
  <si>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</si>
  <si>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</si>
  <si>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</si>
  <si>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</si>
  <si>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</si>
  <si>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</si>
  <si>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</si>
  <si>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</si>
  <si>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</si>
  <si>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</si>
  <si>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</si>
  <si>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</si>
  <si>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</si>
  <si>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</si>
  <si>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</si>
  <si>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</si>
  <si>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</si>
  <si>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</si>
  <si>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</si>
  <si>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</si>
  <si>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</si>
  <si>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</si>
  <si>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</si>
  <si>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</si>
  <si>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</si>
  <si>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</si>
  <si>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</si>
  <si>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</si>
  <si>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</si>
  <si>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</si>
  <si>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</si>
  <si>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</si>
  <si>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</si>
  <si>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</si>
  <si>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</si>
  <si>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</si>
  <si>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</si>
  <si>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</si>
  <si>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</si>
  <si>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</si>
  <si>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</si>
  <si>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</si>
  <si>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</si>
  <si>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</si>
  <si>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</si>
  <si>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</si>
  <si>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</si>
  <si>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</si>
  <si>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</si>
  <si>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</si>
  <si>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</si>
  <si>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</si>
  <si>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</si>
  <si>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</si>
  <si>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</si>
  <si>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</si>
  <si>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</si>
  <si>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</si>
  <si>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</si>
  <si>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</si>
  <si>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</si>
  <si>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</si>
  <si>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</si>
  <si>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</si>
  <si>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</si>
  <si>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</si>
  <si>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</si>
  <si>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</si>
  <si>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</si>
  <si>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</si>
  <si>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</si>
  <si>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</si>
  <si>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</si>
  <si>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</si>
  <si>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</si>
  <si>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</si>
  <si>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</si>
  <si>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</si>
  <si>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</si>
  <si>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</si>
  <si>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</si>
  <si>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</si>
  <si>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</si>
  <si>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</si>
  <si>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</si>
  <si>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</si>
  <si>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</si>
  <si>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</si>
  <si>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</si>
  <si>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</si>
  <si>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</si>
  <si>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</si>
  <si>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</si>
  <si>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</si>
  <si>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</si>
  <si>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</si>
  <si>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</si>
  <si>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</si>
  <si>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</si>
  <si>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</si>
  <si>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</si>
  <si>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</si>
  <si>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</si>
  <si>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</si>
  <si>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</si>
  <si>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</si>
  <si>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</si>
  <si>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</si>
  <si>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</si>
  <si>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</si>
  <si>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</si>
  <si>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</si>
  <si>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</si>
  <si>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</si>
  <si>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</si>
  <si>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</si>
  <si>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</si>
  <si>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</si>
  <si>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</si>
  <si>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</si>
  <si>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</si>
  <si>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</si>
  <si>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</si>
  <si>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</si>
  <si>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</si>
  <si>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</si>
  <si>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</si>
  <si>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</si>
  <si>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</si>
  <si>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</si>
  <si>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</si>
  <si>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</si>
  <si>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</si>
  <si>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</si>
  <si>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</si>
  <si>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</si>
  <si>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</si>
  <si>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</si>
  <si>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</si>
  <si>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</si>
  <si>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</si>
  <si>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</si>
  <si>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</si>
  <si>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</si>
  <si>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</si>
  <si>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</si>
  <si>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</si>
  <si>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</si>
  <si>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</si>
  <si>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</si>
  <si>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</si>
  <si>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</si>
  <si>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</si>
  <si>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</si>
  <si>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</si>
  <si>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</si>
  <si>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</si>
  <si>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</si>
  <si>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</si>
  <si>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</si>
  <si>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</si>
  <si>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</si>
  <si>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</si>
  <si>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</si>
  <si>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</si>
  <si>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</si>
  <si>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</si>
  <si>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</si>
  <si>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</si>
  <si>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</si>
  <si>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</si>
  <si>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</si>
  <si>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</si>
  <si>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</si>
  <si>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</si>
  <si>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</si>
  <si>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</si>
  <si>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</si>
  <si>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</si>
  <si>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</si>
  <si>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</si>
  <si>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</si>
  <si>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</si>
  <si>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</si>
  <si>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</si>
  <si>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</si>
  <si>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</si>
  <si>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</si>
  <si>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</si>
  <si>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</si>
  <si>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</si>
  <si>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</si>
  <si>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</si>
  <si>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</si>
  <si>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</si>
  <si>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</si>
  <si>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</si>
  <si>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</si>
  <si>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</si>
  <si>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</si>
  <si>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</si>
  <si>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</si>
  <si>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</si>
  <si>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</si>
  <si>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</si>
  <si>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</si>
  <si>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</si>
  <si>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</si>
  <si>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</si>
  <si>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</si>
  <si>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</si>
  <si>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</si>
  <si>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</si>
  <si>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</si>
  <si>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</si>
  <si>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</si>
  <si>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</si>
  <si>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</si>
  <si>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</si>
  <si>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</si>
  <si>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</si>
  <si>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</si>
  <si>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</si>
  <si>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</si>
  <si>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</si>
  <si>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</si>
  <si>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</si>
  <si>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</si>
  <si>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</si>
  <si>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</si>
  <si>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</si>
  <si>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</si>
  <si>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</si>
  <si>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</si>
  <si>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</si>
  <si>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</si>
  <si>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</si>
  <si>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</si>
  <si>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</si>
  <si>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</si>
  <si>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</si>
  <si>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</si>
  <si>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</si>
  <si>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</si>
  <si>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</si>
  <si>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</si>
  <si>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</si>
  <si>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</si>
  <si>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</si>
  <si>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</si>
  <si>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</si>
  <si>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</si>
  <si>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</si>
  <si>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</si>
  <si>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</si>
  <si>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</si>
  <si>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</si>
  <si>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</si>
  <si>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</si>
  <si>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</si>
  <si>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</si>
  <si>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</si>
  <si>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</si>
  <si>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</si>
  <si>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</si>
  <si>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</si>
  <si>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</si>
  <si>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</si>
  <si>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</si>
  <si>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</si>
  <si>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</si>
  <si>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</si>
  <si>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</si>
  <si>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</si>
  <si>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</si>
  <si>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</si>
  <si>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</si>
  <si>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</si>
  <si>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</si>
  <si>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</si>
  <si>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</si>
  <si>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</si>
  <si>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</si>
  <si>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</si>
  <si>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</si>
  <si>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</si>
  <si>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</si>
  <si>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</si>
  <si>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</si>
  <si>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</si>
  <si>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</si>
  <si>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</si>
  <si>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</si>
  <si>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</si>
  <si>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</si>
  <si>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</si>
  <si>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</si>
  <si>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</si>
  <si>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</si>
  <si>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</si>
  <si>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</si>
  <si>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</si>
  <si>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</si>
  <si>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</si>
  <si>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</si>
  <si>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</si>
  <si>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</si>
  <si>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</si>
  <si>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</si>
  <si>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</si>
  <si>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</si>
  <si>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</si>
  <si>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</si>
  <si>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</si>
  <si>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</si>
  <si>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</si>
  <si>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</si>
  <si>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</si>
  <si>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</si>
  <si>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</si>
  <si>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</si>
  <si>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</si>
  <si>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</si>
  <si>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</si>
  <si>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</si>
  <si>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</si>
  <si>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</si>
  <si>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</si>
  <si>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</si>
  <si>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</si>
  <si>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</si>
  <si>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</si>
  <si>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</si>
  <si>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</si>
  <si>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</si>
  <si>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</si>
  <si>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</si>
  <si>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</si>
  <si>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</si>
  <si>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</si>
  <si>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</si>
  <si>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</si>
  <si>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</si>
  <si>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</si>
  <si>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</si>
  <si>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</si>
  <si>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</si>
  <si>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</si>
  <si>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</si>
  <si>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</si>
  <si>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</si>
  <si>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</si>
  <si>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</si>
  <si>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</si>
  <si>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</si>
  <si>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</si>
  <si>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</si>
  <si>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</si>
  <si>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</si>
  <si>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</si>
  <si>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</si>
  <si>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</si>
  <si>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</si>
  <si>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</si>
  <si>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</si>
  <si>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</si>
  <si>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</si>
  <si>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</si>
  <si>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</si>
  <si>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</si>
  <si>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</si>
  <si>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</si>
  <si>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</si>
  <si>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</si>
  <si>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</si>
  <si>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</si>
  <si>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</si>
  <si>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</si>
  <si>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</si>
  <si>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</si>
  <si>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</si>
  <si>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</si>
  <si>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</si>
  <si>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</si>
  <si>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</si>
  <si>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</si>
  <si>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</si>
  <si>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</si>
  <si>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</si>
  <si>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</si>
  <si>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</si>
  <si>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</si>
  <si>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</si>
  <si>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</si>
  <si>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</si>
  <si>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</si>
  <si>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</si>
  <si>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</si>
  <si>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</si>
  <si>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</si>
  <si>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</si>
  <si>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</si>
  <si>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</si>
  <si>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</si>
  <si>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</si>
  <si>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</si>
  <si>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</si>
  <si>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</si>
  <si>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</si>
  <si>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</si>
  <si>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</si>
  <si>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</si>
  <si>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</si>
  <si>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</si>
  <si>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</si>
  <si>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</si>
  <si>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</si>
  <si>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</si>
  <si>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</si>
  <si>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</si>
  <si>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</si>
  <si>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</si>
  <si>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</si>
  <si>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</si>
  <si>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</si>
  <si>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</si>
  <si>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</si>
  <si>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</si>
  <si>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</si>
  <si>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</si>
  <si>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</si>
  <si>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</si>
  <si>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</si>
  <si>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</si>
  <si>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</si>
  <si>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</si>
  <si>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</si>
  <si>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</si>
  <si>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</si>
  <si>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</si>
  <si>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</si>
  <si>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</si>
  <si>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</si>
  <si>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</si>
  <si>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</si>
  <si>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</si>
  <si>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</si>
  <si>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</si>
  <si>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</si>
  <si>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</si>
  <si>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</si>
  <si>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</si>
  <si>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</si>
  <si>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</si>
  <si>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</si>
  <si>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</si>
  <si>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</si>
  <si>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</si>
  <si>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</si>
  <si>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</si>
  <si>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</si>
  <si>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</si>
  <si>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</si>
  <si>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</si>
  <si>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</si>
  <si>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</si>
  <si>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</si>
  <si>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</si>
  <si>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</si>
  <si>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</si>
  <si>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</si>
  <si>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</si>
  <si>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</si>
  <si>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</si>
  <si>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</si>
  <si>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</si>
  <si>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</si>
  <si>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</si>
  <si>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</si>
  <si>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</si>
  <si>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</si>
  <si>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</si>
  <si>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</si>
  <si>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</si>
  <si>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</si>
  <si>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</si>
  <si>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</si>
  <si>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</si>
  <si>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</si>
  <si>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</si>
  <si>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</si>
  <si>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</si>
  <si>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</si>
  <si>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</si>
  <si>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</si>
  <si>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</si>
  <si>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</si>
  <si>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</si>
  <si>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</si>
  <si>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</si>
  <si>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</si>
  <si>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</si>
  <si>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</si>
  <si>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</si>
  <si>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</si>
  <si>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</si>
  <si>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</si>
  <si>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</si>
  <si>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</si>
  <si>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</si>
  <si>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</si>
  <si>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</si>
  <si>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</si>
  <si>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</si>
  <si>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</si>
  <si>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</si>
  <si>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</si>
  <si>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</si>
  <si>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</si>
  <si>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</si>
  <si>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</si>
  <si>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</si>
  <si>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</si>
  <si>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</si>
  <si>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</si>
  <si>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</si>
  <si>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</si>
  <si>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</si>
  <si>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</si>
  <si>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</si>
  <si>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</si>
  <si>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</si>
  <si>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</si>
  <si>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</si>
  <si>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</si>
  <si>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</si>
  <si>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</si>
  <si>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</si>
  <si>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</si>
  <si>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</si>
  <si>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</si>
  <si>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</si>
  <si>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</si>
  <si>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</si>
  <si>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</si>
  <si>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</si>
  <si>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</si>
  <si>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</si>
  <si>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</si>
  <si>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</si>
  <si>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</si>
  <si>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</si>
  <si>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</si>
  <si>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</si>
  <si>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</si>
  <si>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</si>
  <si>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</si>
  <si>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</si>
  <si>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</si>
  <si>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</si>
  <si>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</si>
  <si>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</si>
  <si>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</si>
  <si>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</si>
  <si>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</si>
  <si>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</si>
  <si>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</si>
  <si>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</si>
  <si>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</si>
  <si>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</si>
  <si>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</si>
  <si>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</si>
  <si>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</si>
  <si>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</si>
  <si>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</si>
  <si>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</si>
  <si>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</si>
  <si>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</si>
  <si>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</si>
  <si>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</si>
  <si>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</si>
  <si>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</si>
  <si>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</si>
  <si>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</si>
  <si>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</si>
  <si>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</si>
  <si>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</si>
  <si>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</si>
  <si>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</si>
  <si>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</si>
  <si>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</si>
  <si>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</si>
  <si>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</si>
  <si>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</si>
  <si>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</si>
  <si>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</si>
  <si>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</si>
  <si>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</si>
  <si>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</si>
  <si>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</si>
  <si>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</si>
  <si>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</si>
  <si>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</si>
  <si>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</si>
  <si>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</si>
  <si>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</si>
  <si>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</si>
  <si>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</si>
  <si>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</si>
  <si>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</si>
  <si>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</si>
  <si>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</si>
  <si>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</si>
  <si>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</si>
  <si>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</si>
  <si>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</si>
  <si>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</si>
  <si>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</si>
  <si>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</si>
  <si>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</si>
  <si>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</si>
  <si>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</si>
  <si>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</si>
  <si>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</si>
  <si>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</si>
  <si>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</si>
  <si>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</si>
  <si>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</si>
  <si>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</si>
  <si>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</si>
  <si>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</si>
  <si>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</si>
  <si>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</si>
  <si>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</si>
  <si>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</si>
  <si>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</si>
  <si>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</si>
  <si>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</si>
  <si>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</si>
  <si>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</si>
  <si>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</si>
  <si>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</si>
  <si>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</si>
  <si>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</si>
  <si>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</si>
  <si>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</si>
  <si>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</si>
  <si>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</si>
  <si>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</si>
  <si>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</si>
  <si>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</si>
  <si>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</si>
  <si>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</si>
  <si>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</si>
  <si>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</si>
  <si>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</si>
  <si>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</si>
  <si>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</si>
  <si>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</si>
  <si>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</si>
  <si>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</si>
  <si>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</si>
  <si>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</si>
  <si>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</si>
  <si>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</si>
  <si>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</si>
  <si>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</si>
  <si>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</si>
  <si>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</si>
  <si>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</si>
  <si>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</si>
  <si>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</si>
  <si>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</si>
  <si>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</si>
  <si>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</si>
  <si>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</si>
  <si>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</si>
  <si>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</si>
  <si>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</si>
  <si>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</si>
  <si>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</si>
  <si>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</si>
  <si>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</si>
  <si>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</si>
  <si>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</si>
  <si>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</si>
  <si>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</si>
  <si>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</si>
  <si>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</si>
  <si>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</si>
  <si>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</si>
  <si>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</si>
  <si>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</si>
  <si>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</si>
  <si>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</si>
  <si>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</si>
  <si>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</si>
  <si>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</si>
  <si>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</si>
  <si>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</si>
  <si>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</si>
  <si>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</si>
  <si>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</si>
  <si>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</si>
  <si>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</si>
  <si>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</si>
  <si>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</si>
  <si>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</si>
  <si>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</si>
  <si>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</si>
  <si>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</si>
  <si>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</si>
  <si>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</si>
  <si>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</si>
  <si>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</si>
  <si>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</si>
  <si>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</si>
  <si>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</si>
  <si>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</si>
  <si>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</si>
  <si>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</si>
  <si>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</si>
  <si>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</si>
  <si>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</si>
  <si>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</si>
  <si>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</si>
  <si>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</si>
  <si>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</si>
  <si>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</si>
  <si>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</si>
  <si>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</si>
  <si>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</si>
  <si>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</si>
  <si>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</si>
  <si>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</si>
  <si>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</si>
  <si>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</si>
  <si>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</si>
  <si>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</si>
  <si>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</si>
  <si>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</si>
  <si>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</si>
  <si>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</si>
  <si>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</si>
  <si>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</si>
  <si>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</si>
  <si>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</si>
  <si>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</si>
  <si>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</si>
  <si>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</si>
  <si>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</si>
  <si>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</si>
  <si>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</si>
  <si>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</si>
  <si>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</si>
  <si>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</si>
  <si>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</si>
  <si>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</si>
  <si>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</si>
  <si>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</si>
  <si>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</si>
  <si>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</si>
  <si>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</si>
  <si>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</si>
  <si>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</si>
  <si>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</si>
  <si>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</si>
  <si>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</si>
  <si>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</si>
  <si>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</si>
  <si>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</si>
  <si>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</si>
  <si>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</si>
  <si>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</si>
  <si>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</si>
  <si>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</si>
  <si>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</si>
  <si>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</si>
  <si>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</si>
  <si>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</si>
  <si>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</si>
  <si>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</si>
  <si>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</si>
  <si>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</si>
  <si>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</si>
  <si>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</si>
  <si>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</si>
  <si>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</si>
  <si>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</si>
  <si>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</si>
  <si>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</si>
  <si>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</si>
  <si>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</si>
  <si>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</si>
  <si>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</si>
  <si>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</si>
  <si>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</si>
  <si>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</si>
  <si>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</si>
  <si>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</si>
  <si>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</si>
  <si>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</si>
  <si>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</si>
  <si>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</si>
  <si>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</si>
  <si>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</si>
  <si>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</si>
  <si>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</si>
  <si>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</si>
  <si>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</si>
  <si>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</si>
  <si>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</si>
  <si>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</si>
  <si>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</si>
  <si>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</si>
  <si>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</si>
  <si>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</si>
  <si>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</si>
  <si>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</si>
  <si>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</si>
  <si>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</si>
  <si>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</si>
  <si>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</si>
  <si>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</si>
  <si>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</si>
  <si>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</si>
  <si>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</si>
  <si>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</si>
  <si>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</si>
  <si>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</si>
  <si>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</si>
  <si>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</si>
  <si>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</si>
  <si>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</si>
  <si>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</si>
  <si>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</si>
  <si>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</si>
  <si>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</si>
  <si>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</si>
  <si>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</si>
  <si>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</si>
  <si>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</si>
  <si>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</si>
  <si>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</si>
  <si>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</si>
  <si>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</si>
  <si>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</si>
  <si>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</si>
  <si>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</si>
  <si>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</si>
  <si>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</si>
  <si>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</si>
  <si>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</si>
  <si>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</si>
  <si>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</si>
  <si>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</si>
  <si>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</si>
  <si>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</si>
  <si>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</si>
  <si>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</si>
  <si>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</si>
  <si>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</si>
  <si>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</si>
  <si>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</si>
  <si>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</si>
  <si>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</si>
  <si>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</si>
  <si>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</si>
  <si>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</si>
  <si>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</si>
  <si>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</si>
  <si>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</si>
  <si>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</si>
  <si>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</si>
  <si>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</si>
  <si>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</si>
  <si>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</si>
  <si>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</si>
  <si>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</si>
  <si>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</si>
  <si>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</si>
  <si>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</si>
  <si>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</si>
  <si>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</si>
  <si>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</si>
  <si>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</si>
  <si>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</si>
  <si>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</si>
  <si>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</si>
  <si>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</si>
  <si>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</si>
  <si>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</si>
  <si>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</si>
  <si>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</si>
  <si>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</si>
  <si>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</si>
  <si>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</si>
  <si>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</si>
  <si>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</si>
  <si>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</si>
  <si>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</si>
  <si>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</si>
  <si>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</si>
  <si>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</si>
  <si>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</si>
  <si>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</si>
  <si>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</si>
  <si>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</si>
  <si>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</si>
  <si>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</si>
  <si>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</si>
  <si>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</si>
  <si>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</si>
  <si>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</si>
  <si>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</si>
  <si>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</si>
  <si>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</si>
  <si>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</si>
  <si>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</si>
  <si>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</si>
  <si>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</si>
  <si>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</si>
  <si>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</si>
  <si>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</si>
  <si>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</si>
  <si>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</si>
  <si>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</si>
  <si>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</si>
  <si>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</si>
  <si>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</si>
  <si>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</si>
  <si>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</si>
  <si>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</si>
  <si>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</si>
  <si>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</si>
  <si>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</si>
  <si>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</si>
  <si>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</si>
  <si>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</si>
  <si>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</si>
  <si>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</si>
  <si>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</si>
  <si>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</si>
  <si>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</si>
  <si>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</si>
  <si>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</si>
  <si>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</si>
  <si>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</si>
  <si>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</si>
  <si>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</si>
  <si>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</si>
  <si>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</si>
  <si>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</si>
  <si>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</si>
  <si>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</si>
  <si>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</si>
  <si>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</si>
  <si>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</si>
  <si>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</si>
  <si>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</si>
  <si>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</si>
  <si>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</si>
  <si>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</si>
  <si>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</si>
  <si>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</si>
  <si>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</si>
  <si>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</si>
  <si>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</si>
  <si>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</si>
  <si>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</si>
  <si>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</si>
  <si>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</si>
  <si>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</si>
  <si>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</si>
  <si>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</si>
  <si>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</si>
  <si>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</si>
  <si>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</si>
  <si>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</si>
  <si>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</si>
  <si>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</si>
  <si>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</si>
  <si>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</si>
  <si>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</si>
  <si>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</si>
  <si>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</si>
  <si>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</si>
  <si>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</si>
  <si>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</si>
  <si>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</si>
  <si>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</si>
  <si>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</si>
  <si>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</si>
  <si>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</si>
  <si>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</si>
  <si>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</si>
  <si>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</si>
  <si>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</si>
  <si>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</si>
  <si>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</si>
  <si>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</si>
  <si>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</si>
  <si>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</si>
  <si>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</si>
  <si>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</si>
  <si>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</si>
  <si>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</si>
  <si>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</si>
  <si>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</si>
  <si>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</si>
  <si>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</si>
  <si>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</si>
  <si>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</si>
  <si>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</si>
  <si>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</si>
  <si>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</si>
  <si>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</si>
  <si>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</si>
  <si>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</si>
  <si>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</si>
  <si>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</si>
  <si>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</si>
  <si>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</si>
  <si>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</si>
  <si>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</si>
  <si>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</si>
  <si>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</si>
  <si>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</si>
  <si>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</si>
  <si>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</si>
  <si>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</si>
  <si>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</si>
  <si>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</si>
  <si>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</si>
  <si>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</si>
  <si>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</si>
  <si>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</si>
  <si>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</si>
  <si>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</si>
  <si>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</si>
  <si>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</si>
  <si>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</si>
  <si>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</si>
  <si>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</si>
  <si>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</si>
  <si>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</si>
  <si>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</si>
  <si>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</si>
  <si>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</si>
  <si>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</si>
  <si>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</si>
  <si>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</si>
  <si>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</si>
  <si>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</si>
  <si>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</si>
  <si>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</si>
  <si>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</si>
  <si>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</si>
  <si>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</si>
  <si>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</si>
  <si>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</si>
  <si>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</si>
  <si>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</si>
  <si>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</si>
  <si>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</si>
  <si>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</si>
  <si>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</si>
  <si>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</si>
  <si>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</si>
  <si>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</si>
  <si>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</si>
  <si>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</si>
  <si>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</si>
  <si>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</si>
  <si>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</si>
  <si>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</si>
  <si>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</si>
  <si>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</si>
  <si>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</si>
  <si>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</si>
  <si>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</si>
  <si>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</si>
  <si>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</si>
  <si>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</si>
  <si>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</si>
  <si>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</si>
  <si>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</si>
  <si>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</si>
  <si>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</si>
  <si>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</si>
  <si>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</si>
  <si>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</si>
  <si>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</si>
  <si>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</si>
  <si>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</si>
  <si>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</si>
  <si>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</si>
  <si>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</si>
  <si>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</si>
  <si>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</si>
  <si>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</si>
  <si>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</si>
  <si>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</si>
  <si>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</si>
  <si>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</si>
  <si>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</si>
  <si>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</si>
  <si>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</si>
  <si>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</si>
  <si>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</si>
  <si>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</si>
  <si>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</si>
  <si>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</si>
  <si>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</si>
  <si>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</si>
  <si>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</si>
  <si>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</si>
  <si>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</si>
  <si>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</si>
  <si>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</si>
  <si>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</si>
  <si>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</si>
  <si>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</si>
  <si>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</si>
  <si>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</si>
  <si>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</si>
  <si>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</si>
  <si>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</si>
  <si>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</si>
  <si>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</si>
  <si>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</si>
  <si>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</si>
  <si>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</si>
  <si>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</si>
  <si>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</si>
  <si>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</si>
  <si>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</si>
  <si>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</si>
  <si>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</si>
  <si>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</si>
  <si>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</si>
  <si>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</si>
  <si>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</si>
  <si>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</si>
  <si>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</si>
  <si>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</si>
  <si>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</si>
  <si>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</si>
  <si>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</si>
  <si>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</si>
  <si>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</si>
  <si>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</si>
  <si>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</si>
  <si>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</si>
  <si>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</si>
  <si>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</si>
  <si>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</si>
  <si>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</si>
  <si>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</si>
  <si>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</si>
  <si>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</si>
  <si>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</si>
  <si>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</si>
  <si>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</si>
  <si>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</si>
  <si>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</si>
  <si>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</si>
  <si>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</si>
  <si>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</si>
  <si>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</si>
  <si>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</si>
  <si>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</si>
  <si>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</si>
  <si>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</si>
  <si>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</si>
  <si>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</si>
  <si>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</si>
  <si>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</si>
  <si>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</si>
  <si>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</si>
  <si>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</si>
  <si>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</si>
  <si>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</si>
  <si>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</si>
  <si>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</si>
  <si>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</si>
  <si>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</si>
  <si>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</si>
  <si>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</si>
  <si>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</si>
  <si>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</si>
  <si>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</si>
  <si>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</si>
  <si>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</si>
  <si>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</si>
  <si>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</si>
  <si>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</si>
  <si>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</si>
  <si>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</si>
  <si>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</si>
  <si>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</si>
  <si>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</si>
  <si>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</si>
  <si>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</si>
  <si>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</si>
  <si>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</si>
  <si>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</si>
  <si>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</si>
  <si>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</si>
  <si>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</si>
  <si>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</si>
  <si>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</si>
  <si>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</si>
  <si>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</si>
  <si>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</si>
  <si>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</si>
  <si>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</si>
  <si>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</si>
  <si>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</si>
  <si>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</si>
  <si>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</si>
  <si>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</si>
  <si>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</si>
  <si>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</si>
  <si>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</si>
  <si>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</si>
  <si>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</si>
  <si>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</si>
  <si>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</si>
  <si>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</si>
  <si>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</si>
  <si>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</si>
  <si>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</si>
  <si>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</si>
  <si>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</si>
  <si>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</si>
  <si>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</si>
  <si>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</si>
  <si>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</si>
  <si>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</si>
  <si>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</si>
  <si>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</si>
  <si>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</si>
  <si>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</si>
  <si>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</si>
  <si>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</si>
  <si>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</si>
  <si>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</si>
  <si>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</si>
  <si>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</si>
  <si>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</si>
  <si>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</si>
  <si>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</si>
  <si>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</si>
  <si>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</si>
  <si>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</si>
  <si>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</si>
  <si>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</si>
  <si>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</si>
  <si>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</si>
  <si>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</si>
  <si>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</si>
  <si>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</si>
  <si>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</si>
  <si>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</si>
  <si>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</si>
  <si>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</si>
  <si>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</si>
  <si>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</si>
  <si>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</si>
  <si>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</si>
  <si>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</si>
  <si>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</si>
  <si>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</si>
  <si>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</si>
  <si>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</si>
  <si>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</si>
  <si>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</si>
  <si>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</si>
  <si>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</si>
  <si>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</si>
  <si>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</si>
  <si>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</si>
  <si>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</si>
  <si>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</si>
  <si>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</si>
  <si>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</si>
  <si>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</si>
  <si>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</si>
  <si>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</si>
  <si>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</si>
  <si>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</si>
  <si>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</si>
  <si>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</si>
  <si>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</si>
  <si>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</si>
  <si>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</si>
  <si>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</si>
  <si>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</si>
  <si>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</si>
  <si>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</si>
  <si>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</si>
  <si>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</si>
  <si>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</si>
  <si>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</si>
  <si>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</si>
  <si>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</si>
  <si>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</si>
  <si>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</si>
  <si>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</si>
  <si>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</si>
  <si>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</si>
  <si>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</si>
  <si>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</si>
  <si>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</si>
  <si>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</si>
  <si>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</si>
  <si>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</si>
  <si>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</si>
  <si>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</si>
  <si>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</si>
  <si>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</si>
  <si>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</si>
  <si>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</si>
  <si>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</si>
  <si>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</si>
  <si>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</si>
  <si>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</si>
  <si>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</si>
  <si>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</si>
  <si>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</si>
  <si>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</si>
  <si>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</si>
  <si>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</si>
  <si>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</si>
  <si>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</si>
  <si>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</si>
  <si>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</si>
  <si>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</si>
  <si>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</si>
  <si>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</si>
  <si>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</si>
  <si>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</si>
  <si>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</si>
  <si>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</si>
  <si>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</si>
  <si>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</si>
  <si>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</si>
  <si>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</si>
  <si>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</si>
  <si>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</si>
  <si>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</si>
  <si>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</si>
  <si>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</si>
  <si>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</si>
  <si>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</si>
  <si>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</si>
  <si>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</si>
  <si>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</si>
  <si>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</si>
  <si>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</si>
  <si>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</si>
  <si>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</si>
  <si>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</si>
  <si>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</si>
  <si>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</si>
  <si>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</si>
  <si>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</si>
  <si>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</si>
  <si>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</si>
  <si>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</si>
  <si>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</si>
  <si>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</si>
  <si>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</si>
  <si>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</si>
  <si>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</si>
  <si>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</si>
  <si>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</si>
  <si>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</si>
  <si>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</si>
  <si>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</si>
  <si>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</si>
  <si>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</si>
  <si>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</si>
  <si>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</si>
  <si>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</si>
  <si>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</si>
  <si>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</si>
  <si>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</si>
  <si>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</si>
  <si>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</si>
  <si>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</si>
  <si>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</si>
  <si>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</si>
  <si>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</si>
  <si>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</si>
  <si>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</si>
  <si>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</si>
  <si>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</si>
  <si>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</si>
  <si>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</si>
  <si>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</si>
  <si>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</si>
  <si>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</si>
  <si>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</si>
  <si>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</si>
  <si>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</si>
  <si>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</si>
  <si>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</si>
  <si>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</si>
  <si>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</si>
  <si>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</si>
  <si>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</si>
  <si>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</si>
  <si>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</si>
  <si>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</si>
  <si>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</si>
  <si>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</si>
  <si>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</si>
  <si>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</si>
  <si>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</si>
  <si>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</si>
  <si>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</si>
  <si>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</si>
  <si>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</si>
  <si>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</si>
  <si>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</si>
  <si>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</si>
  <si>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</si>
  <si>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</si>
  <si>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</si>
  <si>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</si>
  <si>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</si>
  <si>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</si>
  <si>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</si>
  <si>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</si>
  <si>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</si>
  <si>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</si>
  <si>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</si>
  <si>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</si>
  <si>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</si>
  <si>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</si>
  <si>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</si>
  <si>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</si>
  <si>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</si>
  <si>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</si>
  <si>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</si>
  <si>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</si>
  <si>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</si>
  <si>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</si>
  <si>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</si>
  <si>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</si>
  <si>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</si>
  <si>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</si>
  <si>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</si>
  <si>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</si>
  <si>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</si>
  <si>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</si>
  <si>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</si>
  <si>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</si>
  <si>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</si>
  <si>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</si>
  <si>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</si>
  <si>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</si>
  <si>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</si>
  <si>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</si>
  <si>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</si>
  <si>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</si>
  <si>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</si>
  <si>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</si>
  <si>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</si>
  <si>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</si>
  <si>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</si>
  <si>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</si>
  <si>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</si>
  <si>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</si>
  <si>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</si>
  <si>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</si>
  <si>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</si>
  <si>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</si>
  <si>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</si>
  <si>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</si>
  <si>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</si>
  <si>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</si>
  <si>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</si>
  <si>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</si>
  <si>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</si>
  <si>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</si>
  <si>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</si>
  <si>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</si>
  <si>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</si>
  <si>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</si>
  <si>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</si>
  <si>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</si>
  <si>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</si>
  <si>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</si>
  <si>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</si>
  <si>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</si>
  <si>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</si>
  <si>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</si>
  <si>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</si>
  <si>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</si>
  <si>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</si>
  <si>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</si>
  <si>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</si>
  <si>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</si>
  <si>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</si>
  <si>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</si>
  <si>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</si>
  <si>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</si>
  <si>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</si>
  <si>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</si>
  <si>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</si>
  <si>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</si>
  <si>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</si>
  <si>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</si>
  <si>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</si>
  <si>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</si>
  <si>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</si>
  <si>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</si>
  <si>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</si>
  <si>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</si>
  <si>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</si>
  <si>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</si>
  <si>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</si>
  <si>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</si>
  <si>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</si>
  <si>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</si>
  <si>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</si>
  <si>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</si>
  <si>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</si>
  <si>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</si>
  <si>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</si>
  <si>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</si>
  <si>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</si>
  <si>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</si>
  <si>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</si>
  <si>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</si>
  <si>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</si>
  <si>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</si>
  <si>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</si>
  <si>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</si>
  <si>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</si>
  <si>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</si>
  <si>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</si>
  <si>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</si>
  <si>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</si>
  <si>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</si>
  <si>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</si>
  <si>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</si>
  <si>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</si>
  <si>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</si>
  <si>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</si>
  <si>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</si>
  <si>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</si>
  <si>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</si>
  <si>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</si>
  <si>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</si>
  <si>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</si>
  <si>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</si>
  <si>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</si>
  <si>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</si>
  <si>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</si>
  <si>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</si>
  <si>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</si>
  <si>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</si>
  <si>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</si>
  <si>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</si>
  <si>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</si>
  <si>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</si>
  <si>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</si>
  <si>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</si>
  <si>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</si>
  <si>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</si>
  <si>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</si>
  <si>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</si>
  <si>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</si>
  <si>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</si>
  <si>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</si>
  <si>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</si>
  <si>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</si>
  <si>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</si>
  <si>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</si>
  <si>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</si>
  <si>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</si>
  <si>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</si>
  <si>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</si>
  <si>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</si>
  <si>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</si>
  <si>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</si>
  <si>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</si>
  <si>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</si>
  <si>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</si>
  <si>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</si>
  <si>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</si>
  <si>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</si>
  <si>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</si>
  <si>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</si>
  <si>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</si>
  <si>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</si>
  <si>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</si>
  <si>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</si>
  <si>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</si>
  <si>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</si>
  <si>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</si>
  <si>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</si>
  <si>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</si>
  <si>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</si>
  <si>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</si>
  <si>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</si>
  <si>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</si>
  <si>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</si>
  <si>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</si>
  <si>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</si>
  <si>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</si>
  <si>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</si>
  <si>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</si>
  <si>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</si>
  <si>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</si>
  <si>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</si>
  <si>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</si>
  <si>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</si>
  <si>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</si>
  <si>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</si>
  <si>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</si>
  <si>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</si>
  <si>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</si>
  <si>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</si>
  <si>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</si>
  <si>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</si>
  <si>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</si>
  <si>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</si>
  <si>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</si>
  <si>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</si>
  <si>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</si>
  <si>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</si>
  <si>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</si>
  <si>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</si>
  <si>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</si>
  <si>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</si>
  <si>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</si>
  <si>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</si>
  <si>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</si>
  <si>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</si>
  <si>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</si>
  <si>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</si>
  <si>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</si>
  <si>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</si>
  <si>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</si>
  <si>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</si>
  <si>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</si>
  <si>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</si>
  <si>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</si>
  <si>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</si>
  <si>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</si>
  <si>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</si>
  <si>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</si>
  <si>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</si>
  <si>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</si>
  <si>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</si>
  <si>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</si>
  <si>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</si>
  <si>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</si>
  <si>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</si>
  <si>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</si>
  <si>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</si>
  <si>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</si>
  <si>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</si>
  <si>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</si>
  <si>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</si>
  <si>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</si>
  <si>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</si>
  <si>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</si>
  <si>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</si>
  <si>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</si>
  <si>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</si>
  <si>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</si>
  <si>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</si>
  <si>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</si>
  <si>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</si>
  <si>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</si>
  <si>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</si>
  <si>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</si>
  <si>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</si>
  <si>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</si>
  <si>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</si>
  <si>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</si>
  <si>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</si>
  <si>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</si>
  <si>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</si>
  <si>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</si>
  <si>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</si>
  <si>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</si>
  <si>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</si>
  <si>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</si>
  <si>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</si>
  <si>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</si>
  <si>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</si>
  <si>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</si>
  <si>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</si>
  <si>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</si>
  <si>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</si>
  <si>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</si>
  <si>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</si>
  <si>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</si>
  <si>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</si>
  <si>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</si>
  <si>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</si>
  <si>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</si>
  <si>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</si>
  <si>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</si>
  <si>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</si>
  <si>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</si>
  <si>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</si>
  <si>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</si>
  <si>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</si>
  <si>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</si>
  <si>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</si>
  <si>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</si>
  <si>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</si>
  <si>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</si>
  <si>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</si>
  <si>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</si>
  <si>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</si>
  <si>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</si>
  <si>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</si>
  <si>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</si>
  <si>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</si>
  <si>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</si>
  <si>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</si>
  <si>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</si>
  <si>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</si>
  <si>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</si>
  <si>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</si>
  <si>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</si>
  <si>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</si>
  <si>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</si>
  <si>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</si>
  <si>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</si>
  <si>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</si>
  <si>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</si>
  <si>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</si>
  <si>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</si>
  <si>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</si>
  <si>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</si>
  <si>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</si>
  <si>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</si>
  <si>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</si>
  <si>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</si>
  <si>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</si>
  <si>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</si>
  <si>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</si>
  <si>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</si>
  <si>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</si>
  <si>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</si>
  <si>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</si>
  <si>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</si>
  <si>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</si>
  <si>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</si>
  <si>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</si>
  <si>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</si>
  <si>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</si>
  <si>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</si>
  <si>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</si>
  <si>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</si>
  <si>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</si>
  <si>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</si>
  <si>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</si>
  <si>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</si>
  <si>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</si>
  <si>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</si>
  <si>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</si>
  <si>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</si>
  <si>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</si>
  <si>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</si>
  <si>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</si>
  <si>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</si>
  <si>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</si>
  <si>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</si>
  <si>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</si>
  <si>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</si>
  <si>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</si>
  <si>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</si>
  <si>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</si>
  <si>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</si>
  <si>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</si>
  <si>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</si>
  <si>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</si>
  <si>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</si>
  <si>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</si>
  <si>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</si>
  <si>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</si>
  <si>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</si>
  <si>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</si>
  <si>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</si>
  <si>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</si>
  <si>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</si>
  <si>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</si>
  <si>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</si>
  <si>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</si>
  <si>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</si>
  <si>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</si>
  <si>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</si>
  <si>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</si>
  <si>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</si>
  <si>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</si>
  <si>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</si>
  <si>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</si>
  <si>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</si>
  <si>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</si>
  <si>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</si>
  <si>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</si>
  <si>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</si>
  <si>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</si>
  <si>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</si>
  <si>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</si>
  <si>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</si>
  <si>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</si>
  <si>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</si>
  <si>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</si>
  <si>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</si>
  <si>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</si>
  <si>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</si>
  <si>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</si>
  <si>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</si>
  <si>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</si>
  <si>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</si>
  <si>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</si>
  <si>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</si>
  <si>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</si>
  <si>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</si>
  <si>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</si>
  <si>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</si>
  <si>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</si>
  <si>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</si>
  <si>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</si>
  <si>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</si>
  <si>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</si>
  <si>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</si>
  <si>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</si>
  <si>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</si>
  <si>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</si>
  <si>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</si>
  <si>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</si>
  <si>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</si>
  <si>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</si>
  <si>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</si>
  <si>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</si>
  <si>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</si>
  <si>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</si>
  <si>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</si>
  <si>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</si>
  <si>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</si>
  <si>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</si>
  <si>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</si>
  <si>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</si>
  <si>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</si>
  <si>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</si>
  <si>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</si>
  <si>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</si>
  <si>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</si>
  <si>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</si>
  <si>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</si>
  <si>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</si>
  <si>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</si>
  <si>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</si>
  <si>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</si>
  <si>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</si>
  <si>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</si>
  <si>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</si>
  <si>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</si>
  <si>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</si>
  <si>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</si>
  <si>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</si>
  <si>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</si>
  <si>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</si>
  <si>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</si>
  <si>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</si>
  <si>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</si>
  <si>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</si>
  <si>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</si>
  <si>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</si>
  <si>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</si>
  <si>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</si>
  <si>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</si>
  <si>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</si>
  <si>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</si>
  <si>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</si>
  <si>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</si>
  <si>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</si>
  <si>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</si>
  <si>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</si>
  <si>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</si>
  <si>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</si>
  <si>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</si>
  <si>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</si>
  <si>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</si>
  <si>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</si>
  <si>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</si>
  <si>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</si>
  <si>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</si>
  <si>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</si>
  <si>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</si>
  <si>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</si>
  <si>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</si>
  <si>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</si>
  <si>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</si>
  <si>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</si>
  <si>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</si>
  <si>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</si>
  <si>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</si>
  <si>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</si>
  <si>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</si>
  <si>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</si>
  <si>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</si>
  <si>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</si>
  <si>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</si>
  <si>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</si>
  <si>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</si>
  <si>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</si>
  <si>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</si>
  <si>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</si>
  <si>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</si>
  <si>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</si>
  <si>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</si>
  <si>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</si>
  <si>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</si>
  <si>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</si>
  <si>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</si>
  <si>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</si>
  <si>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</si>
  <si>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</si>
  <si>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</si>
  <si>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</si>
  <si>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</si>
  <si>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</si>
  <si>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</si>
  <si>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</si>
  <si>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</si>
  <si>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</si>
  <si>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</si>
  <si>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</si>
  <si>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</si>
  <si>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</si>
  <si>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</si>
  <si>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</si>
  <si>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</si>
  <si>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</si>
  <si>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</si>
  <si>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</si>
  <si>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</si>
  <si>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</si>
  <si>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</si>
  <si>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</si>
  <si>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</si>
  <si>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</si>
  <si>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</si>
  <si>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</si>
  <si>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</si>
  <si>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</si>
  <si>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</si>
  <si>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</si>
  <si>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</si>
  <si>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</si>
  <si>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</si>
  <si>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</si>
  <si>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</si>
  <si>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</si>
  <si>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</si>
  <si>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</si>
  <si>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</si>
  <si>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</si>
  <si>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</si>
  <si>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</si>
  <si>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</si>
  <si>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</si>
  <si>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</si>
  <si>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</si>
  <si>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</si>
  <si>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</si>
  <si>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</si>
  <si>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</si>
  <si>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</si>
  <si>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</si>
  <si>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</si>
  <si>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</si>
  <si>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</si>
  <si>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</si>
  <si>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</si>
  <si>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</si>
  <si>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</si>
  <si>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</si>
  <si>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</si>
  <si>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</si>
  <si>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</si>
  <si>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</si>
  <si>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</si>
  <si>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</si>
  <si>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</si>
  <si>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</si>
  <si>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</si>
  <si>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</si>
  <si>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</si>
  <si>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</si>
  <si>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</si>
  <si>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</si>
  <si>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</si>
  <si>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</si>
  <si>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</si>
  <si>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</si>
  <si>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</si>
  <si>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</si>
  <si>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</si>
  <si>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</si>
  <si>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</si>
  <si>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</si>
  <si>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</si>
  <si>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</si>
  <si>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</si>
  <si>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</si>
  <si>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</si>
  <si>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</si>
  <si>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</si>
  <si>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</si>
  <si>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</si>
  <si>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</si>
  <si>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</si>
  <si>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</si>
  <si>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</si>
  <si>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</si>
  <si>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</si>
  <si>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</si>
  <si>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</si>
  <si>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</si>
  <si>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</si>
  <si>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</si>
  <si>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</si>
  <si>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</si>
  <si>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</si>
  <si>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</si>
  <si>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</si>
  <si>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</si>
  <si>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</si>
  <si>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</si>
  <si>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</si>
  <si>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</si>
  <si>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</si>
  <si>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</si>
  <si>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</si>
  <si>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</si>
  <si>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</si>
  <si>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</si>
  <si>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</si>
  <si>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</si>
  <si>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</si>
  <si>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</si>
  <si>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</si>
  <si>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</si>
  <si>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</si>
  <si>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</si>
  <si>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</si>
  <si>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</si>
  <si>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</si>
  <si>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</si>
  <si>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</si>
  <si>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</si>
  <si>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</si>
  <si>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</si>
  <si>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</si>
  <si>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</si>
  <si>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</si>
  <si>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</si>
  <si>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</si>
  <si>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</si>
  <si>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</si>
  <si>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</si>
  <si>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</si>
  <si>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</si>
  <si>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</si>
  <si>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</si>
  <si>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</si>
  <si>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</si>
  <si>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</si>
  <si>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</si>
  <si>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</si>
  <si>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</si>
  <si>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</si>
  <si>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</si>
  <si>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</si>
  <si>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</si>
  <si>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</si>
  <si>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</si>
  <si>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</si>
  <si>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</si>
  <si>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</si>
  <si>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</si>
  <si>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</si>
  <si>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</si>
  <si>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</si>
  <si>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</si>
  <si>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</si>
  <si>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</si>
  <si>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</si>
  <si>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</si>
  <si>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</si>
  <si>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</si>
  <si>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</si>
  <si>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</si>
  <si>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</si>
  <si>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</si>
  <si>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</si>
  <si>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</si>
  <si>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</si>
  <si>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</si>
  <si>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</si>
  <si>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</si>
  <si>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</si>
  <si>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</si>
  <si>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</si>
  <si>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</si>
  <si>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</si>
  <si>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</si>
  <si>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</si>
  <si>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</si>
  <si>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</si>
  <si>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</si>
  <si>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</si>
  <si>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</si>
  <si>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</si>
  <si>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</si>
  <si>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</si>
  <si>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</si>
  <si>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</si>
  <si>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</si>
  <si>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</si>
  <si>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</si>
  <si>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</si>
  <si>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</si>
  <si>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</si>
  <si>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</si>
  <si>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</si>
  <si>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</si>
  <si>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</si>
  <si>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</si>
  <si>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</si>
  <si>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</si>
  <si>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</si>
  <si>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</si>
  <si>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</si>
  <si>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</si>
  <si>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</si>
  <si>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</si>
  <si>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</si>
  <si>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</si>
  <si>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</si>
  <si>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</si>
  <si>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</si>
  <si>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</si>
  <si>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</si>
  <si>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</si>
  <si>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</si>
  <si>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</si>
  <si>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</si>
  <si>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</si>
  <si>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</si>
  <si>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</si>
  <si>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</si>
  <si>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</si>
  <si>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</si>
  <si>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</si>
  <si>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</si>
  <si>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</si>
  <si>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</si>
  <si>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</si>
  <si>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</si>
  <si>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</si>
  <si>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</si>
  <si>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</si>
  <si>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</si>
  <si>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</si>
  <si>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</si>
  <si>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</si>
  <si>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</si>
  <si>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</si>
  <si>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</si>
  <si>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</si>
  <si>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</si>
  <si>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</si>
  <si>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</si>
  <si>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</si>
  <si>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</si>
  <si>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</si>
  <si>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</si>
  <si>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</si>
  <si>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</si>
  <si>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</si>
  <si>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</si>
  <si>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</si>
  <si>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</si>
  <si>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</si>
  <si>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</si>
  <si>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</si>
  <si>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</si>
  <si>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</si>
  <si>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</si>
  <si>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</si>
  <si>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</si>
  <si>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</si>
  <si>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</si>
  <si>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</si>
  <si>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</si>
  <si>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</si>
  <si>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</si>
  <si>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</si>
  <si>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</si>
  <si>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</si>
  <si>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</si>
  <si>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</si>
  <si>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</si>
  <si>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</si>
  <si>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</si>
  <si>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</si>
  <si>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</si>
  <si>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</si>
  <si>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</si>
  <si>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</si>
  <si>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</si>
  <si>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</si>
  <si>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</si>
  <si>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</si>
  <si>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</si>
  <si>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</si>
  <si>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</si>
  <si>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</si>
  <si>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</si>
  <si>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</si>
  <si>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</si>
  <si>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</si>
  <si>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</si>
  <si>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</si>
  <si>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</si>
  <si>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</si>
  <si>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</si>
  <si>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</si>
  <si>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</si>
  <si>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</si>
  <si>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</si>
  <si>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</si>
  <si>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</si>
  <si>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</si>
  <si>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</si>
  <si>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</si>
  <si>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</si>
  <si>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</si>
  <si>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</si>
  <si>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</si>
  <si>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</si>
  <si>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</si>
  <si>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</si>
  <si>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</si>
  <si>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</si>
  <si>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</si>
  <si>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</si>
  <si>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</si>
  <si>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</si>
  <si>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</si>
  <si>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</si>
  <si>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</si>
  <si>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</si>
  <si>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</si>
  <si>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</si>
  <si>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</si>
  <si>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</si>
  <si>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</si>
  <si>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</si>
  <si>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</si>
  <si>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</si>
  <si>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</si>
  <si>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</si>
  <si>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</si>
  <si>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</si>
  <si>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</si>
  <si>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</si>
  <si>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</si>
  <si>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</si>
  <si>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</si>
  <si>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</si>
  <si>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</si>
  <si>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</si>
  <si>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</si>
  <si>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</si>
  <si>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</si>
  <si>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</si>
  <si>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</si>
  <si>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</si>
  <si>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</si>
  <si>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</si>
  <si>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</si>
  <si>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</si>
  <si>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</si>
  <si>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</si>
  <si>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</si>
  <si>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</si>
  <si>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</si>
  <si>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</si>
  <si>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</si>
  <si>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</si>
  <si>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</si>
  <si>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</si>
  <si>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</si>
  <si>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</si>
  <si>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</si>
  <si>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</si>
  <si>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</si>
  <si>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</si>
  <si>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</si>
  <si>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</si>
  <si>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</si>
  <si>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</si>
  <si>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</si>
  <si>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</si>
  <si>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</si>
  <si>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</si>
  <si>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</si>
  <si>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</si>
  <si>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</si>
  <si>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</si>
  <si>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</si>
  <si>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</si>
  <si>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</si>
  <si>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</si>
  <si>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</si>
  <si>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</si>
  <si>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</si>
  <si>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</si>
  <si>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</si>
  <si>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</si>
  <si>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</si>
  <si>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</si>
  <si>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</si>
  <si>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</si>
  <si>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</si>
  <si>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</si>
  <si>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</si>
  <si>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</si>
  <si>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</si>
  <si>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</si>
  <si>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</si>
  <si>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</si>
  <si>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</si>
  <si>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</si>
  <si>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</si>
  <si>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</si>
  <si>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</si>
  <si>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</si>
  <si>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</si>
  <si>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</si>
  <si>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</si>
  <si>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</si>
  <si>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</si>
  <si>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</si>
  <si>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</si>
  <si>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</si>
  <si>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</si>
  <si>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</si>
  <si>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</si>
  <si>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</si>
  <si>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</si>
  <si>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</si>
  <si>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</si>
  <si>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</si>
  <si>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</si>
  <si>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</si>
  <si>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</si>
  <si>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</si>
  <si>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</si>
  <si>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</si>
  <si>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</si>
  <si>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</si>
  <si>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</si>
  <si>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</si>
  <si>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</si>
  <si>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</si>
  <si>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</si>
  <si>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</si>
  <si>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</si>
  <si>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</si>
  <si>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</si>
  <si>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</si>
  <si>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</si>
  <si>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</si>
  <si>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</si>
  <si>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</si>
  <si>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</si>
  <si>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</si>
  <si>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</si>
  <si>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</si>
  <si>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</si>
  <si>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</si>
  <si>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</si>
  <si>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</si>
  <si>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</si>
  <si>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</si>
  <si>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</si>
  <si>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</si>
  <si>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</si>
  <si>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</si>
  <si>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</si>
  <si>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</si>
  <si>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</si>
  <si>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</si>
  <si>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</si>
  <si>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</si>
  <si>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</si>
  <si>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</si>
  <si>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</si>
  <si>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</si>
  <si>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</si>
  <si>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</si>
  <si>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</si>
  <si>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</si>
  <si>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</si>
  <si>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</si>
  <si>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</si>
  <si>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</si>
  <si>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</si>
  <si>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</si>
  <si>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</si>
  <si>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</si>
  <si>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</si>
  <si>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</si>
  <si>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</si>
  <si>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</si>
  <si>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</si>
  <si>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</si>
  <si>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</si>
  <si>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</si>
  <si>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</si>
  <si>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</si>
  <si>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</si>
  <si>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</si>
  <si>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</si>
  <si>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</si>
  <si>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</si>
  <si>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</si>
  <si>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</si>
  <si>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</si>
  <si>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</si>
  <si>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</si>
  <si>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</si>
  <si>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</si>
  <si>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</si>
  <si>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</si>
  <si>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</si>
  <si>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</si>
  <si>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</si>
  <si>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</si>
  <si>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</si>
  <si>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</si>
  <si>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</si>
  <si>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</si>
  <si>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</si>
  <si>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</si>
  <si>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</si>
  <si>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</si>
  <si>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</si>
  <si>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</si>
  <si>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</si>
  <si>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</si>
  <si>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</si>
  <si>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</si>
  <si>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</si>
  <si>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</si>
  <si>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</si>
  <si>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</si>
  <si>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</si>
  <si>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</si>
  <si>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</si>
  <si>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</si>
  <si>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</si>
  <si>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</si>
  <si>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</si>
  <si>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</si>
  <si>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</si>
  <si>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</si>
  <si>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</si>
  <si>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</si>
  <si>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</si>
  <si>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</si>
  <si>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</si>
  <si>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</si>
  <si>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</si>
  <si>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</si>
  <si>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</si>
  <si>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</si>
  <si>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</si>
  <si>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</si>
  <si>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</si>
  <si>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</si>
  <si>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</si>
  <si>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</si>
  <si>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</si>
  <si>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</si>
  <si>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</si>
  <si>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</si>
  <si>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</si>
  <si>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</si>
  <si>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</si>
  <si>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</si>
  <si>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</si>
  <si>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</si>
  <si>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</si>
  <si>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</si>
  <si>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</si>
  <si>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</si>
  <si>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</si>
  <si>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</si>
  <si>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</si>
  <si>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</si>
  <si>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</si>
  <si>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</si>
  <si>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</si>
  <si>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</si>
  <si>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</si>
  <si>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</si>
  <si>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</si>
  <si>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</si>
  <si>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</si>
  <si>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</si>
  <si>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</si>
  <si>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</si>
  <si>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</si>
  <si>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</si>
  <si>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</si>
  <si>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</si>
  <si>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</si>
  <si>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</si>
  <si>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</si>
  <si>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</si>
  <si>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</si>
  <si>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</si>
  <si>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</si>
  <si>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</si>
  <si>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</si>
  <si>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</si>
  <si>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</si>
  <si>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</si>
  <si>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</si>
  <si>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</si>
  <si>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</si>
  <si>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</si>
  <si>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</si>
  <si>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</si>
  <si>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</si>
  <si>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</si>
  <si>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</si>
  <si>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</si>
  <si>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</si>
  <si>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</si>
  <si>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</si>
  <si>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</si>
  <si>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</si>
  <si>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</si>
  <si>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</si>
  <si>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</si>
  <si>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</si>
  <si>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</si>
  <si>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</si>
  <si>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</si>
  <si>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</si>
  <si>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</si>
  <si>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</si>
  <si>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</si>
  <si>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</si>
  <si>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</si>
  <si>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</si>
  <si>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</si>
  <si>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</si>
  <si>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</si>
  <si>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</si>
  <si>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</si>
  <si>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</si>
  <si>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</si>
  <si>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</si>
  <si>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</si>
  <si>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</si>
  <si>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</si>
  <si>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</si>
  <si>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</si>
  <si>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</si>
  <si>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</si>
  <si>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</si>
  <si>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</si>
  <si>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</si>
  <si>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</si>
  <si>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</si>
  <si>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</si>
  <si>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</si>
  <si>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</si>
  <si>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</si>
  <si>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</si>
  <si>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</si>
  <si>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</si>
  <si>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</si>
  <si>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</si>
  <si>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</si>
  <si>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</si>
  <si>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</si>
  <si>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</si>
  <si>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</si>
  <si>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</si>
  <si>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</si>
  <si>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</si>
  <si>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</si>
  <si>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</si>
  <si>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</si>
  <si>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</si>
  <si>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</si>
  <si>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</si>
  <si>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</si>
  <si>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</si>
  <si>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</si>
  <si>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</si>
  <si>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</si>
  <si>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</si>
  <si>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</si>
  <si>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</si>
  <si>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</si>
  <si>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</si>
  <si>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</si>
  <si>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</si>
  <si>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</si>
  <si>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</si>
  <si>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</si>
  <si>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</si>
  <si>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</si>
  <si>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</si>
  <si>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</si>
  <si>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</si>
  <si>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</si>
  <si>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</si>
  <si>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</si>
  <si>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</si>
  <si>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</si>
  <si>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</si>
  <si>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</si>
  <si>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</si>
  <si>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</si>
  <si>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</si>
  <si>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</si>
  <si>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</si>
  <si>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</si>
  <si>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</si>
  <si>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</si>
  <si>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</si>
  <si>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</si>
  <si>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</si>
  <si>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</si>
  <si>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</si>
  <si>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</si>
  <si>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</si>
  <si>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</si>
  <si>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</si>
  <si>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</si>
  <si>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</si>
  <si>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</si>
  <si>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</si>
  <si>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</si>
  <si>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</si>
  <si>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</si>
  <si>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</si>
  <si>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</si>
  <si>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</si>
  <si>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</si>
  <si>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</si>
  <si>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</si>
  <si>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</si>
  <si>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</si>
  <si>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</si>
  <si>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</si>
  <si>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</si>
  <si>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</si>
  <si>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</si>
  <si>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</si>
  <si>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</si>
  <si>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</si>
  <si>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</si>
  <si>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</si>
  <si>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</si>
  <si>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</si>
  <si>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</si>
  <si>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</si>
  <si>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</si>
  <si>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</si>
  <si>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</si>
  <si>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</si>
  <si>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</si>
  <si>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</si>
  <si>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</si>
  <si>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</si>
  <si>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</si>
  <si>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</si>
  <si>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</si>
  <si>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</si>
  <si>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</si>
  <si>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</si>
  <si>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</si>
  <si>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</si>
  <si>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</si>
  <si>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</si>
  <si>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</si>
  <si>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</si>
  <si>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</si>
  <si>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</si>
  <si>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</si>
  <si>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</si>
  <si>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</si>
  <si>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</si>
  <si>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</si>
  <si>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</si>
  <si>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</si>
  <si>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</si>
  <si>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</si>
  <si>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</si>
  <si>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</si>
  <si>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</si>
  <si>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</si>
  <si>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</si>
  <si>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</si>
  <si>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</si>
  <si>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</si>
  <si>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</si>
  <si>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</si>
  <si>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</si>
  <si>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</si>
  <si>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</si>
  <si>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</si>
  <si>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</si>
  <si>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</si>
  <si>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</si>
  <si>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</si>
  <si>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</si>
  <si>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</si>
  <si>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</si>
  <si>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</si>
  <si>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</si>
  <si>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</si>
  <si>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</si>
  <si>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</si>
  <si>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</si>
  <si>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</si>
  <si>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</si>
  <si>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</si>
  <si>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</si>
  <si>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</si>
  <si>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</si>
  <si>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</si>
  <si>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</si>
  <si>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</si>
  <si>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</si>
  <si>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</si>
  <si>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</si>
  <si>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</si>
  <si>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</si>
  <si>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</si>
  <si>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</si>
  <si>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</si>
  <si>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</si>
  <si>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</si>
  <si>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</si>
  <si>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</si>
  <si>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</si>
  <si>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</si>
  <si>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</si>
  <si>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</si>
  <si>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</si>
  <si>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</si>
  <si>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</si>
  <si>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</si>
  <si>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</si>
  <si>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</si>
  <si>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</si>
  <si>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</si>
  <si>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</si>
  <si>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</si>
  <si>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</si>
  <si>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</si>
  <si>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</si>
  <si>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</si>
  <si>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</si>
  <si>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</si>
  <si>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</si>
  <si>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</si>
  <si>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</si>
  <si>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</si>
  <si>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</si>
  <si>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</si>
  <si>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</si>
  <si>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</si>
  <si>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</si>
  <si>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</si>
  <si>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</si>
  <si>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</si>
  <si>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</si>
  <si>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</si>
  <si>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</si>
  <si>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</si>
  <si>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</si>
  <si>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</si>
  <si>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</si>
  <si>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</si>
  <si>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</si>
  <si>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</si>
  <si>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</si>
  <si>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</si>
  <si>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</si>
  <si>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</si>
  <si>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</si>
  <si>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</si>
  <si>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</si>
  <si>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</si>
  <si>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</si>
  <si>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</si>
  <si>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</si>
  <si>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</si>
  <si>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</si>
  <si>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</si>
  <si>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</si>
  <si>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</si>
  <si>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</si>
  <si>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</si>
  <si>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</si>
  <si>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</si>
  <si>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</si>
  <si>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</si>
  <si>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</si>
  <si>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</si>
  <si>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</si>
  <si>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</si>
  <si>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</si>
  <si>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</si>
  <si>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</si>
  <si>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</si>
  <si>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</si>
  <si>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</si>
  <si>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</si>
  <si>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</si>
  <si>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</si>
  <si>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</si>
  <si>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</si>
  <si>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</si>
  <si>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</si>
  <si>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</si>
  <si>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</si>
  <si>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</si>
  <si>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</si>
  <si>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</si>
  <si>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</si>
  <si>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</si>
  <si>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</si>
  <si>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</si>
  <si>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</si>
  <si>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</si>
  <si>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</si>
  <si>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</si>
  <si>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</si>
  <si>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</si>
  <si>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</si>
  <si>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</si>
  <si>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</si>
  <si>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</si>
  <si>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</si>
  <si>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</si>
  <si>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</si>
  <si>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</si>
  <si>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</si>
  <si>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</si>
  <si>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</si>
  <si>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</si>
  <si>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</si>
  <si>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</si>
  <si>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</si>
  <si>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</si>
  <si>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</si>
  <si>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</si>
  <si>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</si>
  <si>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</si>
  <si>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</si>
  <si>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</si>
  <si>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</si>
  <si>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</si>
  <si>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</si>
  <si>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</si>
  <si>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</si>
  <si>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</si>
  <si>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</si>
  <si>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</si>
  <si>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</si>
  <si>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</si>
  <si>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</si>
  <si>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</si>
  <si>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</si>
  <si>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</si>
  <si>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</si>
  <si>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</si>
  <si>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</si>
  <si>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</si>
  <si>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</si>
  <si>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</si>
  <si>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</si>
  <si>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</si>
  <si>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</si>
  <si>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</si>
  <si>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</si>
  <si>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</si>
  <si>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</si>
  <si>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</si>
  <si>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</si>
  <si>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</si>
  <si>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</si>
  <si>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</si>
  <si>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</si>
  <si>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</si>
  <si>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</si>
  <si>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</si>
  <si>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</si>
  <si>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</si>
  <si>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</si>
  <si>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</si>
  <si>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</si>
  <si>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</si>
  <si>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</si>
  <si>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</si>
  <si>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</si>
  <si>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</si>
  <si>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</si>
  <si>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</si>
  <si>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</si>
  <si>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</si>
  <si>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</si>
  <si>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</si>
  <si>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</si>
  <si>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</si>
  <si>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</si>
  <si>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</si>
  <si>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</si>
  <si>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</si>
  <si>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</si>
  <si>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</si>
  <si>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</si>
  <si>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</si>
  <si>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</si>
  <si>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</si>
  <si>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</si>
  <si>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</si>
  <si>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</si>
  <si>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</si>
  <si>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</si>
  <si>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</si>
  <si>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</si>
  <si>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</si>
  <si>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</si>
  <si>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</si>
  <si>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</si>
  <si>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</si>
  <si>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</si>
  <si>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</si>
  <si>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</si>
  <si>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</si>
  <si>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</si>
  <si>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</si>
  <si>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</si>
  <si>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</si>
  <si>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</si>
  <si>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</si>
  <si>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</si>
  <si>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</si>
  <si>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</si>
  <si>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</si>
  <si>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</si>
  <si>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</si>
  <si>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</si>
  <si>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</si>
  <si>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</si>
  <si>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</si>
  <si>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</si>
  <si>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</si>
  <si>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</si>
  <si>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</si>
  <si>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</si>
  <si>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</si>
  <si>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</si>
  <si>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</si>
  <si>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</si>
  <si>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</si>
  <si>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</si>
  <si>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</si>
  <si>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</si>
  <si>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</si>
  <si>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</si>
  <si>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</si>
  <si>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</si>
  <si>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</si>
  <si>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</si>
  <si>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</si>
  <si>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</si>
  <si>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</si>
  <si>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</si>
  <si>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</si>
  <si>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</si>
  <si>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</si>
  <si>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</si>
  <si>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</si>
  <si>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</si>
  <si>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</si>
  <si>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</si>
  <si>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</si>
  <si>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</si>
  <si>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</si>
  <si>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</si>
  <si>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</si>
  <si>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</si>
  <si>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</si>
  <si>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</si>
  <si>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</si>
  <si>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</si>
  <si>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</si>
  <si>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</si>
  <si>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</si>
  <si>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</si>
  <si>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</si>
  <si>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</si>
  <si>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</si>
  <si>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</si>
  <si>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</si>
  <si>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</si>
  <si>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</si>
  <si>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</si>
  <si>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</si>
  <si>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</si>
  <si>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</si>
  <si>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</si>
  <si>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</si>
  <si>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</si>
  <si>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</si>
  <si>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</si>
  <si>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</si>
  <si>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</si>
  <si>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</si>
  <si>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</si>
  <si>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</si>
  <si>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</si>
  <si>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</si>
  <si>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</si>
  <si>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</si>
  <si>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</si>
  <si>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</si>
  <si>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</si>
  <si>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</si>
  <si>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</si>
  <si>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</si>
  <si>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</si>
  <si>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</si>
  <si>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</si>
  <si>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</si>
  <si>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</si>
  <si>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</si>
  <si>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</si>
  <si>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</si>
  <si>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</si>
  <si>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</si>
  <si>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</si>
  <si>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</si>
  <si>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</si>
  <si>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</si>
  <si>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</si>
  <si>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</si>
  <si>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</si>
  <si>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</si>
  <si>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</si>
  <si>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</si>
  <si>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</si>
  <si>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</si>
  <si>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</si>
  <si>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</si>
  <si>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</si>
  <si>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</si>
  <si>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</si>
  <si>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</si>
  <si>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</si>
  <si>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</si>
  <si>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</si>
  <si>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</si>
  <si>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</si>
  <si>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</si>
  <si>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</si>
  <si>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</si>
  <si>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</si>
  <si>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</si>
  <si>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</si>
  <si>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</si>
  <si>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</si>
  <si>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</si>
  <si>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</si>
  <si>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</si>
  <si>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</si>
  <si>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</si>
  <si>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</si>
  <si>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</si>
  <si>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</si>
  <si>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</si>
  <si>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</si>
  <si>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</si>
  <si>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</si>
  <si>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</si>
  <si>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</si>
  <si>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</si>
  <si>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</si>
  <si>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</si>
  <si>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</si>
  <si>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</si>
  <si>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</si>
  <si>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</si>
  <si>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</si>
  <si>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</si>
  <si>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</si>
  <si>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</si>
  <si>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</si>
  <si>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</si>
  <si>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</si>
  <si>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</si>
  <si>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</si>
  <si>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</si>
  <si>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</si>
  <si>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</si>
  <si>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</si>
  <si>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</si>
  <si>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</si>
  <si>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</si>
  <si>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</si>
  <si>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</si>
  <si>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</si>
  <si>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</si>
  <si>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</si>
  <si>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</si>
  <si>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</si>
  <si>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</si>
  <si>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</si>
  <si>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</si>
  <si>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</si>
  <si>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</si>
  <si>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</si>
  <si>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</si>
  <si>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</si>
  <si>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</si>
  <si>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</si>
  <si>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</si>
  <si>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</si>
  <si>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</si>
  <si>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</si>
  <si>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</si>
  <si>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</si>
  <si>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</si>
  <si>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</si>
  <si>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</si>
  <si>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</si>
  <si>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</si>
  <si>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</si>
  <si>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</si>
  <si>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</si>
  <si>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</si>
  <si>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</si>
  <si>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</si>
  <si>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</si>
  <si>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</si>
  <si>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</si>
  <si>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</si>
  <si>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</si>
  <si>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</si>
  <si>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</si>
  <si>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</si>
  <si>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</si>
  <si>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</si>
  <si>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</si>
  <si>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</si>
  <si>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</si>
  <si>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</si>
  <si>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</si>
  <si>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</si>
  <si>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</si>
  <si>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</si>
  <si>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</si>
  <si>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</si>
  <si>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</si>
  <si>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</si>
  <si>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</si>
  <si>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</si>
  <si>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</si>
  <si>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</si>
  <si>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</si>
  <si>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</si>
  <si>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</si>
  <si>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</si>
  <si>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</si>
  <si>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</si>
  <si>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</si>
  <si>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</si>
  <si>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</si>
  <si>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</si>
  <si>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</si>
  <si>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</si>
  <si>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</si>
  <si>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</si>
  <si>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</si>
  <si>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</si>
  <si>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</si>
  <si>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</si>
  <si>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</si>
  <si>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</si>
  <si>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</si>
  <si>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</si>
  <si>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</si>
  <si>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</si>
  <si>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</si>
  <si>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</si>
  <si>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</si>
  <si>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</si>
  <si>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</si>
  <si>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</si>
  <si>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</si>
  <si>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</si>
  <si>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</si>
  <si>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</si>
  <si>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</si>
  <si>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</si>
  <si>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</si>
  <si>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</si>
  <si>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</si>
  <si>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</si>
  <si>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</si>
  <si>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</si>
  <si>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</si>
  <si>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</si>
  <si>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</si>
  <si>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</si>
  <si>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</si>
  <si>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</si>
  <si>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</si>
  <si>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</si>
  <si>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</si>
  <si>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</si>
  <si>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</si>
  <si>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</si>
  <si>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</si>
  <si>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</si>
  <si>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</si>
  <si>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</si>
  <si>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</si>
  <si>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</si>
  <si>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</si>
  <si>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</si>
  <si>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</si>
  <si>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</si>
  <si>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</si>
  <si>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</si>
  <si>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</si>
  <si>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</si>
  <si>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</si>
  <si>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</si>
  <si>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</si>
  <si>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</si>
  <si>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</si>
  <si>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</si>
  <si>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</si>
  <si>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</si>
  <si>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</si>
  <si>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</si>
  <si>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</si>
  <si>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</si>
  <si>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</si>
  <si>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</si>
  <si>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</si>
  <si>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</si>
  <si>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</si>
  <si>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</si>
  <si>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</si>
  <si>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</si>
  <si>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</si>
  <si>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</si>
  <si>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</si>
  <si>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</si>
  <si>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</si>
  <si>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</si>
  <si>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</si>
  <si>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</si>
  <si>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</si>
  <si>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</si>
  <si>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</si>
  <si>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</si>
  <si>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</si>
  <si>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</si>
  <si>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</si>
  <si>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</si>
  <si>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</si>
  <si>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</si>
  <si>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</si>
  <si>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</si>
  <si>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</si>
  <si>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</si>
  <si>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</si>
  <si>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</si>
  <si>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</si>
  <si>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</si>
  <si>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</si>
  <si>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</si>
  <si>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</si>
  <si>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</si>
  <si>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</si>
  <si>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</si>
  <si>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</si>
  <si>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</si>
  <si>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</si>
  <si>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</si>
  <si>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</si>
  <si>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</si>
  <si>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</si>
  <si>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</si>
  <si>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</si>
  <si>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</si>
  <si>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</si>
  <si>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</si>
  <si>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</si>
  <si>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</si>
  <si>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</si>
  <si>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</si>
  <si>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</si>
  <si>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</si>
  <si>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</si>
  <si>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</si>
  <si>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</si>
  <si>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</si>
  <si>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</si>
  <si>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</si>
  <si>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</si>
  <si>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</si>
  <si>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</si>
  <si>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</si>
  <si>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</si>
  <si>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</si>
  <si>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</si>
  <si>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</si>
  <si>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</si>
  <si>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</si>
  <si>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</si>
  <si>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</si>
  <si>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</si>
  <si>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</si>
  <si>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</si>
  <si>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</si>
  <si>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</si>
  <si>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</si>
  <si>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</si>
  <si>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</si>
  <si>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</si>
  <si>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</si>
  <si>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</si>
  <si>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</si>
  <si>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</si>
  <si>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</si>
  <si>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</si>
  <si>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</si>
  <si>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</si>
  <si>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</si>
  <si>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</si>
  <si>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</si>
  <si>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</si>
  <si>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</si>
  <si>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</si>
  <si>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</si>
  <si>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</si>
  <si>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</si>
  <si>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</si>
  <si>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</si>
  <si>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</si>
  <si>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</si>
  <si>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</si>
  <si>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</si>
  <si>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</si>
  <si>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</si>
  <si>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</si>
  <si>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</si>
  <si>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</si>
  <si>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</si>
  <si>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</si>
  <si>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</si>
  <si>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</si>
  <si>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</si>
  <si>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</si>
  <si>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</si>
  <si>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</si>
  <si>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</si>
  <si>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</si>
  <si>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</si>
  <si>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</si>
  <si>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</si>
  <si>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</si>
  <si>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</si>
  <si>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</si>
  <si>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</si>
  <si>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</si>
  <si>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</si>
  <si>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</si>
  <si>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</si>
  <si>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</si>
  <si>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</si>
  <si>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</si>
  <si>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</si>
  <si>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</si>
  <si>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</si>
  <si>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</si>
  <si>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</si>
  <si>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</si>
  <si>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</si>
  <si>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</si>
  <si>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</si>
  <si>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</si>
  <si>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</si>
  <si>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</si>
  <si>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</si>
  <si>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</si>
  <si>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</si>
  <si>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</si>
  <si>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</si>
  <si>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</si>
  <si>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</si>
  <si>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</si>
  <si>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</si>
  <si>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</si>
  <si>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</si>
  <si>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</si>
  <si>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</si>
  <si>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</si>
  <si>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</si>
  <si>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</si>
  <si>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</si>
  <si>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</si>
  <si>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</si>
  <si>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</si>
  <si>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</si>
  <si>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</si>
  <si>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</si>
  <si>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</si>
  <si>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</si>
  <si>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</si>
  <si>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</si>
  <si>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</si>
  <si>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</si>
  <si>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</si>
  <si>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</si>
  <si>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</si>
  <si>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</si>
  <si>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</si>
  <si>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</si>
  <si>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</si>
  <si>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</si>
  <si>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</si>
  <si>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</si>
  <si>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</si>
  <si>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</si>
  <si>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</si>
  <si>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</si>
  <si>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</si>
  <si>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</si>
  <si>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</si>
  <si>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</si>
  <si>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</si>
  <si>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</si>
  <si>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</si>
  <si>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</si>
  <si>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</si>
  <si>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</si>
  <si>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</si>
  <si>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</si>
  <si>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</si>
  <si>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</si>
  <si>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</si>
  <si>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</si>
  <si>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</si>
  <si>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</si>
  <si>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</si>
  <si>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</si>
  <si>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</si>
  <si>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</si>
  <si>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</si>
  <si>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</si>
  <si>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</si>
  <si>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</si>
  <si>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</si>
  <si>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</si>
  <si>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</si>
  <si>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</si>
  <si>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</si>
  <si>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</si>
  <si>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</si>
  <si>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</si>
  <si>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</si>
  <si>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</si>
  <si>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</si>
  <si>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</si>
  <si>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</si>
  <si>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</si>
  <si>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</si>
  <si>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</si>
  <si>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</si>
  <si>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</si>
  <si>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</si>
  <si>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</si>
  <si>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</si>
  <si>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</si>
  <si>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</si>
  <si>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</si>
  <si>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</si>
  <si>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</si>
  <si>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</si>
  <si>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</si>
  <si>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</si>
  <si>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</si>
  <si>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</si>
  <si>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</si>
  <si>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</si>
  <si>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</si>
  <si>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</si>
  <si>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</si>
  <si>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</si>
  <si>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</si>
  <si>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</si>
  <si>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</si>
  <si>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</si>
  <si>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</si>
  <si>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</si>
  <si>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</si>
  <si>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</si>
  <si>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</si>
  <si>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</si>
  <si>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</si>
  <si>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</si>
  <si>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</si>
  <si>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</si>
  <si>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</si>
  <si>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</si>
  <si>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</si>
  <si>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</si>
  <si>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</si>
  <si>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</si>
  <si>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</si>
  <si>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</si>
  <si>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</si>
  <si>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</si>
  <si>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</si>
  <si>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</si>
  <si>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</si>
  <si>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</si>
  <si>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</si>
  <si>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</si>
  <si>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</si>
  <si>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</si>
  <si>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</si>
  <si>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</si>
  <si>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</si>
  <si>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</si>
  <si>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</si>
  <si>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</si>
  <si>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</si>
  <si>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</si>
  <si>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</si>
  <si>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</si>
  <si>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</si>
  <si>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</si>
  <si>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</si>
  <si>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</si>
  <si>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</si>
  <si>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</si>
  <si>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</si>
  <si>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</si>
  <si>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</si>
  <si>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</si>
  <si>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</si>
  <si>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</si>
  <si>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</si>
  <si>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</si>
  <si>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</si>
  <si>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</si>
  <si>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</si>
  <si>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</si>
  <si>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</si>
  <si>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</si>
  <si>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</si>
  <si>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</si>
  <si>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</si>
  <si>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</si>
  <si>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</si>
  <si>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</si>
  <si>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</si>
  <si>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</si>
  <si>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</si>
  <si>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</si>
  <si>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</si>
  <si>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</si>
  <si>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</si>
  <si>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</si>
  <si>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</si>
  <si>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</si>
  <si>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</si>
  <si>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</si>
  <si>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</si>
  <si>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</si>
  <si>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</si>
  <si>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</si>
  <si>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</si>
  <si>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</si>
  <si>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</si>
  <si>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</si>
  <si>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</si>
  <si>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</si>
  <si>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</si>
  <si>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</si>
  <si>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</si>
  <si>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</si>
  <si>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</si>
  <si>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</si>
  <si>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</si>
  <si>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</si>
  <si>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</si>
  <si>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</si>
  <si>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</si>
  <si>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</si>
  <si>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</si>
  <si>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</si>
  <si>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</si>
  <si>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</si>
  <si>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</si>
  <si>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</si>
  <si>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</si>
  <si>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</si>
  <si>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</si>
  <si>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</si>
  <si>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</si>
  <si>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</si>
  <si>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</si>
  <si>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</si>
  <si>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</si>
  <si>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</si>
  <si>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</si>
  <si>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</si>
  <si>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</si>
  <si>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</si>
  <si>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</si>
  <si>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</si>
  <si>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</si>
  <si>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</si>
  <si>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</si>
  <si>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</si>
  <si>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</si>
  <si>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</si>
  <si>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</si>
  <si>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</si>
  <si>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</si>
  <si>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</si>
  <si>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</si>
  <si>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</si>
  <si>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</si>
  <si>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</si>
  <si>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</si>
  <si>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</si>
  <si>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</si>
  <si>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</si>
  <si>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</si>
  <si>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</si>
  <si>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</si>
  <si>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</si>
  <si>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</si>
  <si>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</si>
  <si>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</si>
  <si>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</si>
  <si>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</si>
  <si>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</si>
  <si>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</si>
  <si>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</si>
  <si>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</si>
  <si>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</si>
  <si>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</si>
  <si>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</si>
  <si>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</si>
  <si>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</si>
  <si>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</si>
  <si>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</si>
  <si>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</si>
  <si>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</si>
  <si>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</si>
  <si>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</si>
  <si>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</si>
  <si>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</si>
  <si>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</si>
  <si>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</si>
  <si>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</si>
  <si>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</si>
  <si>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</si>
  <si>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</si>
  <si>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</si>
  <si>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</si>
  <si>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</si>
  <si>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</si>
  <si>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</si>
  <si>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</si>
  <si>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</si>
  <si>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</si>
  <si>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</si>
  <si>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</si>
  <si>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</si>
  <si>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</si>
  <si>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</si>
  <si>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</si>
  <si>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</si>
  <si>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</si>
  <si>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</si>
  <si>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</si>
  <si>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</si>
  <si>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</si>
  <si>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</si>
  <si>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</si>
  <si>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</si>
  <si>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</si>
  <si>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</si>
  <si>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</si>
  <si>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</si>
  <si>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</si>
  <si>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</si>
  <si>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</si>
  <si>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</si>
  <si>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</si>
  <si>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</si>
  <si>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</si>
  <si>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</si>
  <si>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</si>
  <si>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</si>
  <si>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</si>
  <si>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</si>
  <si>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</si>
  <si>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</si>
  <si>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</si>
  <si>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</si>
  <si>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</si>
  <si>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</si>
  <si>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</si>
  <si>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</si>
  <si>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</si>
  <si>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</si>
  <si>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</si>
  <si>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</si>
  <si>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</si>
  <si>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</si>
  <si>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</si>
  <si>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</si>
  <si>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</si>
  <si>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</si>
  <si>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</si>
  <si>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</si>
  <si>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</si>
  <si>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</si>
  <si>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</si>
  <si>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</si>
  <si>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</si>
  <si>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</si>
  <si>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</si>
  <si>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</si>
  <si>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</si>
  <si>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</si>
  <si>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</si>
  <si>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</si>
  <si>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</si>
  <si>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</si>
  <si>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</si>
  <si>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</si>
  <si>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</si>
  <si>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</si>
  <si>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</si>
  <si>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</si>
  <si>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</si>
  <si>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</si>
  <si>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</si>
  <si>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</si>
  <si>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</si>
  <si>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</si>
  <si>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</si>
  <si>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</si>
  <si>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</si>
  <si>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</si>
  <si>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</si>
  <si>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</si>
  <si>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</si>
  <si>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</si>
  <si>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</si>
  <si>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</si>
  <si>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</si>
  <si>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</si>
  <si>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</si>
  <si>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</si>
  <si>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</si>
  <si>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</si>
  <si>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</si>
  <si>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</si>
  <si>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</si>
  <si>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</si>
  <si>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</si>
  <si>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</si>
  <si>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</si>
  <si>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</si>
  <si>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</si>
  <si>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</si>
  <si>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</si>
  <si>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</si>
  <si>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</si>
  <si>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</si>
  <si>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</si>
  <si>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</si>
  <si>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</si>
  <si>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</si>
  <si>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</si>
  <si>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</si>
  <si>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</si>
  <si>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</si>
  <si>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</si>
  <si>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</si>
  <si>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</si>
  <si>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</si>
  <si>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</si>
  <si>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</si>
  <si>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</si>
  <si>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</si>
  <si>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</si>
  <si>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</si>
  <si>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</si>
  <si>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</si>
  <si>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</si>
  <si>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</si>
  <si>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</si>
  <si>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</si>
  <si>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</si>
  <si>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</si>
  <si>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</si>
  <si>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</si>
  <si>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</si>
  <si>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</si>
  <si>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</si>
  <si>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</si>
  <si>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</si>
  <si>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</si>
  <si>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</si>
  <si>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</si>
  <si>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</si>
  <si>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</si>
  <si>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</si>
  <si>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</si>
  <si>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</si>
  <si>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</si>
  <si>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</si>
  <si>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</si>
  <si>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</si>
  <si>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</si>
  <si>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</si>
  <si>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</si>
  <si>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</si>
  <si>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</si>
  <si>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</si>
  <si>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</si>
  <si>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</si>
  <si>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</si>
  <si>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</si>
  <si>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</si>
  <si>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</si>
  <si>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</si>
  <si>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</si>
  <si>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</si>
  <si>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</si>
  <si>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</si>
  <si>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</si>
  <si>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</si>
  <si>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</si>
  <si>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</si>
  <si>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</si>
  <si>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</si>
  <si>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</si>
  <si>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</si>
  <si>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</si>
  <si>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</si>
  <si>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</si>
  <si>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</si>
  <si>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</si>
  <si>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</si>
  <si>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</si>
  <si>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</si>
  <si>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</si>
  <si>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</si>
  <si>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</si>
  <si>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</si>
  <si>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</si>
  <si>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</si>
  <si>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</si>
  <si>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</si>
  <si>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</si>
  <si>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</si>
  <si>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</si>
  <si>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</si>
  <si>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</si>
  <si>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</si>
  <si>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</si>
  <si>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</si>
  <si>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</si>
  <si>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</si>
  <si>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</si>
  <si>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</si>
  <si>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</si>
  <si>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</si>
  <si>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</si>
  <si>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</si>
  <si>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</si>
  <si>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</si>
  <si>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</si>
  <si>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</si>
  <si>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</si>
  <si>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</si>
  <si>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</si>
  <si>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</si>
  <si>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</si>
  <si>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</si>
  <si>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</si>
  <si>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</si>
  <si>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</si>
  <si>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</si>
  <si>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</si>
  <si>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</si>
  <si>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</si>
  <si>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</si>
  <si>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</si>
  <si>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</si>
  <si>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</si>
  <si>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</si>
  <si>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</si>
  <si>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</si>
  <si>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</si>
  <si>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</si>
  <si>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</si>
  <si>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</si>
  <si>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</si>
  <si>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</si>
  <si>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</si>
  <si>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</si>
  <si>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</si>
  <si>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</si>
  <si>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</si>
  <si>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</si>
  <si>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</si>
  <si>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</si>
  <si>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</si>
  <si>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</si>
  <si>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</si>
  <si>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</si>
  <si>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</si>
  <si>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</si>
  <si>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</si>
  <si>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</si>
  <si>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</si>
  <si>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</si>
  <si>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</si>
  <si>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</si>
  <si>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</si>
  <si>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</si>
  <si>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</si>
  <si>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</si>
  <si>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</si>
  <si>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</si>
  <si>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</si>
  <si>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</si>
  <si>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</si>
  <si>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</si>
  <si>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</si>
  <si>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</si>
  <si>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</si>
  <si>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</si>
  <si>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</si>
  <si>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</si>
  <si>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</si>
  <si>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</si>
  <si>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</si>
  <si>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</si>
  <si>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</si>
  <si>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</si>
  <si>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</si>
  <si>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</si>
  <si>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</si>
  <si>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</si>
  <si>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</si>
  <si>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</si>
  <si>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</si>
  <si>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</si>
  <si>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</si>
  <si>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</si>
  <si>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</si>
  <si>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</si>
  <si>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</si>
  <si>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</si>
  <si>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</si>
  <si>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</si>
  <si>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</si>
  <si>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</si>
  <si>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</si>
  <si>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</si>
  <si>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</si>
  <si>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</si>
  <si>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</si>
  <si>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</si>
  <si>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</si>
  <si>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</si>
  <si>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</si>
  <si>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</si>
  <si>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</si>
  <si>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</si>
  <si>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</si>
  <si>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</si>
  <si>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</si>
  <si>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</si>
  <si>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</si>
  <si>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</si>
  <si>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</si>
  <si>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</si>
  <si>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</si>
  <si>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</si>
  <si>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</si>
  <si>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</si>
  <si>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</si>
  <si>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</si>
  <si>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</si>
  <si>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</si>
  <si>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</si>
  <si>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</si>
  <si>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</si>
  <si>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</si>
  <si>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</si>
  <si>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</si>
  <si>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</si>
  <si>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</si>
  <si>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</si>
  <si>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</si>
  <si>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</si>
  <si>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</si>
  <si>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</si>
  <si>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</si>
  <si>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</si>
  <si>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</si>
  <si>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</si>
  <si>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</si>
  <si>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</si>
  <si>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</si>
  <si>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</si>
  <si>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</si>
  <si>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</si>
  <si>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</si>
  <si>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</si>
  <si>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</si>
  <si>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</si>
  <si>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</si>
  <si>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</si>
  <si>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</si>
  <si>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</si>
  <si>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</si>
  <si>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</si>
  <si>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</si>
  <si>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</si>
  <si>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</si>
  <si>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</si>
  <si>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</si>
  <si>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</si>
  <si>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</si>
  <si>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</si>
  <si>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</si>
  <si>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</si>
  <si>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</si>
  <si>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</si>
  <si>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</si>
  <si>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</si>
  <si>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</si>
  <si>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</si>
  <si>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</si>
  <si>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</si>
  <si>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</si>
  <si>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</si>
  <si>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</si>
  <si>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</si>
  <si>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</si>
  <si>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</si>
  <si>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</si>
  <si>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</si>
  <si>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</si>
  <si>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</si>
  <si>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</si>
  <si>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</si>
  <si>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</si>
  <si>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</si>
  <si>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</si>
  <si>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</si>
  <si>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</si>
  <si>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</si>
  <si>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</si>
  <si>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</si>
  <si>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</si>
  <si>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</si>
  <si>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</si>
  <si>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</si>
  <si>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</si>
  <si>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</si>
  <si>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</si>
  <si>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</si>
  <si>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</si>
  <si>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</si>
  <si>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</si>
  <si>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</si>
  <si>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</si>
  <si>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</si>
  <si>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</si>
  <si>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</si>
  <si>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</si>
  <si>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</si>
  <si>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</si>
  <si>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</si>
  <si>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</si>
  <si>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</si>
  <si>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</si>
  <si>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</si>
  <si>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</si>
  <si>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</si>
  <si>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</si>
  <si>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</si>
  <si>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</si>
  <si>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</si>
  <si>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</si>
  <si>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</si>
  <si>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</si>
  <si>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</si>
  <si>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</si>
  <si>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</si>
  <si>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</si>
  <si>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</si>
  <si>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</si>
  <si>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</si>
  <si>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</si>
  <si>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</si>
  <si>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</si>
  <si>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</si>
  <si>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</si>
  <si>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</si>
  <si>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</si>
  <si>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</si>
  <si>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</si>
  <si>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</si>
  <si>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</si>
  <si>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</si>
  <si>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</si>
  <si>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</si>
  <si>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</si>
  <si>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</si>
  <si>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</si>
  <si>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</si>
  <si>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</si>
  <si>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</si>
  <si>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</si>
  <si>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</si>
  <si>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</si>
  <si>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</si>
  <si>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</si>
  <si>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</si>
  <si>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</si>
  <si>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</si>
  <si>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</si>
  <si>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</si>
  <si>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</si>
  <si>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</si>
  <si>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</si>
  <si>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</si>
  <si>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</si>
  <si>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</si>
  <si>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</si>
  <si>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</si>
  <si>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</si>
  <si>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</si>
  <si>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</si>
  <si>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</si>
  <si>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</si>
  <si>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</si>
  <si>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</si>
  <si>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</si>
  <si>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</si>
  <si>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</si>
  <si>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</si>
  <si>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</si>
  <si>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</si>
  <si>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</si>
  <si>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</si>
  <si>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</si>
  <si>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</si>
  <si>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</si>
  <si>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</si>
  <si>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</si>
  <si>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</si>
  <si>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</si>
  <si>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</si>
  <si>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</si>
  <si>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</si>
  <si>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</si>
  <si>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</si>
  <si>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</si>
  <si>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</si>
  <si>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</si>
  <si>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</si>
  <si>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</si>
  <si>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</si>
  <si>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</si>
  <si>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</si>
  <si>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</si>
  <si>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</si>
  <si>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</si>
  <si>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</si>
  <si>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</si>
  <si>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</si>
  <si>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</si>
  <si>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</si>
  <si>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</si>
  <si>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</si>
  <si>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</si>
  <si>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</si>
  <si>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</si>
  <si>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</si>
  <si>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</si>
  <si>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</si>
  <si>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</si>
  <si>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</si>
  <si>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</si>
  <si>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</si>
  <si>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</si>
  <si>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</si>
  <si>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</si>
  <si>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</si>
  <si>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</si>
  <si>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</si>
  <si>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</si>
  <si>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</si>
  <si>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</si>
  <si>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</si>
  <si>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</si>
  <si>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</si>
  <si>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</si>
  <si>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</si>
  <si>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</si>
  <si>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</si>
  <si>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</si>
  <si>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</si>
  <si>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</si>
  <si>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</si>
  <si>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</si>
  <si>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</si>
  <si>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</si>
  <si>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</si>
  <si>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</si>
  <si>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</si>
  <si>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</si>
  <si>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</si>
  <si>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</si>
  <si>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</si>
  <si>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</si>
  <si>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</si>
  <si>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</si>
  <si>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</si>
  <si>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</si>
  <si>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</si>
  <si>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</si>
  <si>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</si>
  <si>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</si>
  <si>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</si>
  <si>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</si>
  <si>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</si>
  <si>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</si>
  <si>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</si>
  <si>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</si>
  <si>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</si>
  <si>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</si>
  <si>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</si>
  <si>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</si>
  <si>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</si>
  <si>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</si>
  <si>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</si>
  <si>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</si>
  <si>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</si>
  <si>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</si>
  <si>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</si>
  <si>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</si>
  <si>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</si>
  <si>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</si>
  <si>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</si>
  <si>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</si>
  <si>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</si>
  <si>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</si>
  <si>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</si>
  <si>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</si>
  <si>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</si>
  <si>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</si>
  <si>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</si>
  <si>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</si>
  <si>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</si>
  <si>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</si>
  <si>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</si>
  <si>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</si>
  <si>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</si>
  <si>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</si>
  <si>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</si>
  <si>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</si>
  <si>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</si>
  <si>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</si>
  <si>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</si>
  <si>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</si>
  <si>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</si>
  <si>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</si>
  <si>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</si>
  <si>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</si>
  <si>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</si>
  <si>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</si>
  <si>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</si>
  <si>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</si>
  <si>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</si>
  <si>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</si>
  <si>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</si>
  <si>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</si>
  <si>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</si>
  <si>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</si>
  <si>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</si>
  <si>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</si>
  <si>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</si>
  <si>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</si>
  <si>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</si>
  <si>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</si>
  <si>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</si>
  <si>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</si>
  <si>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</si>
  <si>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</si>
  <si>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</si>
  <si>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</si>
  <si>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</si>
  <si>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</si>
  <si>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</si>
  <si>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</si>
  <si>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</si>
  <si>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</si>
  <si>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</si>
  <si>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</si>
  <si>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</si>
  <si>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</si>
  <si>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</si>
  <si>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</si>
  <si>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</si>
  <si>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</si>
  <si>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</si>
  <si>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</si>
  <si>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</si>
  <si>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</si>
  <si>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</si>
  <si>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</si>
  <si>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</si>
  <si>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</si>
  <si>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</si>
  <si>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</si>
  <si>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</si>
  <si>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</si>
  <si>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</si>
  <si>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</si>
  <si>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</si>
  <si>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</si>
  <si>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</si>
  <si>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</si>
  <si>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</si>
  <si>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</si>
  <si>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</si>
  <si>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</si>
  <si>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</si>
  <si>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</si>
  <si>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</si>
  <si>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</si>
  <si>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</si>
  <si>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</si>
  <si>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</si>
  <si>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</si>
  <si>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</si>
  <si>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</si>
  <si>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</si>
  <si>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</si>
  <si>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</si>
  <si>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</si>
  <si>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</si>
  <si>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</si>
  <si>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</si>
  <si>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</si>
  <si>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</si>
  <si>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</si>
  <si>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</si>
  <si>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</si>
  <si>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</si>
  <si>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</si>
  <si>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</si>
  <si>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</si>
  <si>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</si>
  <si>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</si>
  <si>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</si>
  <si>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</si>
  <si>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</si>
  <si>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</si>
  <si>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</si>
  <si>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</si>
  <si>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</si>
  <si>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</si>
  <si>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</si>
  <si>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</si>
  <si>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</si>
  <si>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</si>
  <si>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</si>
  <si>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</si>
  <si>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</si>
  <si>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</si>
  <si>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</si>
  <si>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</si>
  <si>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</si>
  <si>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</si>
  <si>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</si>
  <si>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</si>
  <si>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</si>
  <si>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</si>
  <si>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</si>
  <si>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</si>
  <si>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</si>
  <si>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</si>
  <si>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</si>
  <si>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</si>
  <si>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</si>
  <si>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</si>
  <si>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</si>
  <si>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</si>
  <si>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</si>
  <si>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</si>
  <si>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</si>
  <si>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</si>
  <si>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</si>
  <si>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</si>
  <si>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</si>
  <si>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</si>
  <si>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</si>
  <si>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</si>
  <si>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</si>
  <si>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</si>
  <si>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</si>
  <si>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</si>
  <si>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</si>
  <si>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</si>
  <si>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</si>
  <si>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</si>
  <si>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</si>
  <si>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</si>
  <si>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</si>
  <si>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</si>
  <si>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</si>
  <si>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</si>
  <si>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</si>
  <si>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</si>
  <si>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</si>
  <si>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</si>
  <si>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</si>
  <si>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</si>
  <si>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</si>
  <si>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</si>
  <si>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</si>
  <si>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</si>
  <si>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</si>
  <si>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</si>
  <si>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</si>
  <si>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</si>
  <si>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</si>
  <si>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</si>
  <si>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</si>
  <si>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</si>
  <si>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</si>
  <si>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</si>
  <si>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</si>
  <si>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</si>
  <si>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</si>
  <si>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</si>
  <si>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</si>
  <si>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</si>
  <si>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</si>
  <si>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</si>
  <si>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</si>
  <si>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</si>
  <si>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</si>
  <si>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</si>
  <si>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</si>
  <si>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</si>
  <si>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</si>
  <si>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</si>
  <si>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</si>
  <si>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</si>
  <si>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</si>
  <si>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</si>
  <si>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</si>
  <si>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</si>
  <si>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</si>
  <si>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</si>
  <si>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</si>
  <si>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</si>
  <si>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</si>
  <si>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</si>
  <si>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</si>
  <si>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</si>
  <si>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</si>
  <si>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</si>
  <si>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</si>
  <si>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</si>
  <si>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</si>
  <si>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</si>
  <si>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</si>
  <si>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</si>
  <si>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</si>
  <si>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</si>
  <si>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</si>
  <si>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</si>
  <si>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</si>
  <si>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</si>
  <si>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</si>
  <si>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</si>
  <si>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</si>
  <si>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</si>
  <si>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</si>
  <si>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</si>
  <si>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</si>
  <si>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</si>
  <si>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</si>
  <si>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</si>
  <si>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</si>
  <si>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</si>
  <si>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</si>
  <si>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</si>
  <si>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</si>
  <si>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</si>
  <si>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</si>
  <si>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</si>
  <si>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</si>
  <si>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</si>
  <si>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</si>
  <si>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</si>
  <si>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</si>
  <si>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</si>
  <si>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</si>
  <si>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</si>
  <si>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</si>
  <si>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</si>
  <si>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</si>
  <si>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</si>
  <si>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</si>
  <si>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</si>
  <si>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</si>
  <si>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</si>
  <si>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</si>
  <si>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</si>
  <si>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</si>
  <si>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</si>
  <si>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</si>
  <si>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</si>
  <si>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</si>
  <si>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</si>
  <si>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</si>
  <si>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</si>
  <si>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</si>
  <si>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</si>
  <si>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</si>
  <si>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</si>
  <si>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</si>
  <si>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</si>
  <si>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</si>
  <si>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</si>
  <si>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</si>
  <si>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</si>
  <si>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</si>
  <si>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</si>
  <si>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</si>
  <si>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</si>
  <si>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</si>
  <si>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</si>
  <si>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</si>
  <si>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</si>
  <si>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</si>
  <si>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</si>
  <si>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</si>
  <si>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</si>
  <si>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</si>
  <si>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</si>
  <si>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</si>
  <si>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</si>
  <si>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</si>
  <si>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</si>
  <si>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</si>
  <si>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</si>
  <si>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</si>
  <si>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</si>
  <si>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</si>
  <si>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</si>
  <si>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</si>
  <si>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</si>
  <si>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</si>
  <si>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</si>
  <si>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</si>
  <si>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</si>
  <si>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</si>
  <si>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</si>
  <si>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</si>
  <si>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</si>
  <si>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</si>
  <si>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</si>
  <si>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</si>
  <si>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</si>
  <si>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</si>
  <si>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</si>
  <si>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</si>
  <si>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</si>
  <si>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</si>
  <si>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</si>
  <si>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طلب از رضا 28/4/1402</t>
  </si>
  <si>
    <t>2/5/1402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</si>
</sst>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21287849480</c:v>
                </c:pt>
                <c:pt idx="1">
                  <c:v>8294.3023255813951</c:v>
                </c:pt>
                <c:pt idx="2">
                  <c:v>256020000</c:v>
                </c:pt>
                <c:pt idx="3">
                  <c:v>107931636</c:v>
                </c:pt>
                <c:pt idx="4">
                  <c:v>49046000</c:v>
                </c:pt>
                <c:pt idx="5">
                  <c:v>573804000</c:v>
                </c:pt>
                <c:pt idx="6">
                  <c:v>6020000</c:v>
                </c:pt>
                <c:pt idx="7">
                  <c:v>11072313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3" zoomScale="85" zoomScaleNormal="85" workbookViewId="0">
      <selection activeCell="B33" sqref="B33"/>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1.0705407508415086E-3</v>
      </c>
      <c r="F1" s="11"/>
      <c r="G1" s="279" t="s">
        <v>4406</v>
      </c>
      <c r="H1" s="1">
        <f>SUM(B26:B40)</f>
        <v>12271381214.302326</v>
      </c>
      <c r="J1" s="207" t="s">
        <v>4315</v>
      </c>
      <c r="K1" s="207" t="s">
        <v>4326</v>
      </c>
      <c r="L1" s="207" t="s">
        <v>4327</v>
      </c>
      <c r="M1" s="357" t="s">
        <v>25</v>
      </c>
      <c r="N1" s="357" t="s">
        <v>25</v>
      </c>
      <c r="V1" t="s">
        <v>25</v>
      </c>
      <c r="Z1" t="s">
        <v>25</v>
      </c>
      <c r="AA1" t="s">
        <v>25</v>
      </c>
    </row>
    <row r="2" spans="1:27">
      <c r="A2" s="364" t="s">
        <v>6664</v>
      </c>
      <c r="B2" s="367">
        <f>C2*D2</f>
        <v>519382640</v>
      </c>
      <c r="C2" s="374">
        <v>291788</v>
      </c>
      <c r="D2" s="364">
        <f>D26</f>
        <v>1780</v>
      </c>
      <c r="E2" s="364">
        <f>B2*100/$C$43</f>
        <v>2.2650975113338125</v>
      </c>
      <c r="F2" s="11"/>
      <c r="G2" s="357" t="s">
        <v>4318</v>
      </c>
      <c r="H2" s="1">
        <f>SUM(B20:B23)</f>
        <v>7687095080</v>
      </c>
      <c r="I2">
        <f t="shared" ref="I2:I7" si="0">K2-$K$10</f>
        <v>1479980</v>
      </c>
      <c r="J2" s="207" t="s">
        <v>690</v>
      </c>
      <c r="K2" s="207">
        <v>1479980</v>
      </c>
      <c r="L2" s="276">
        <f t="shared" ref="L2:L7" si="1">K2*$O$516</f>
        <v>7158634726.5932503</v>
      </c>
      <c r="M2" s="357">
        <f t="shared" ref="M2:M7" si="2">L2*100/$L$10</f>
        <v>32.20522140736108</v>
      </c>
      <c r="N2" s="1">
        <f t="shared" ref="N2:N7" si="3">M2*0.01*$N$10</f>
        <v>345399767.74422872</v>
      </c>
    </row>
    <row r="3" spans="1:27">
      <c r="A3" s="364" t="s">
        <v>6665</v>
      </c>
      <c r="B3" s="367">
        <f>C3*D3</f>
        <v>0</v>
      </c>
      <c r="C3" s="374">
        <v>0</v>
      </c>
      <c r="D3" s="364">
        <f>D27</f>
        <v>829.43023255813944</v>
      </c>
      <c r="E3" s="364">
        <f>B3*100/$C$43</f>
        <v>0</v>
      </c>
      <c r="F3" s="11"/>
      <c r="G3" s="357" t="s">
        <v>4319</v>
      </c>
      <c r="H3" s="1">
        <f>SUM(B14:B17)</f>
        <v>904563960</v>
      </c>
      <c r="I3">
        <f t="shared" si="0"/>
        <v>2572827</v>
      </c>
      <c r="J3" s="207" t="s">
        <v>4317</v>
      </c>
      <c r="K3" s="207">
        <v>2572827</v>
      </c>
      <c r="L3" s="276">
        <f t="shared" si="1"/>
        <v>12444714595.951792</v>
      </c>
      <c r="M3" s="357">
        <f t="shared" si="2"/>
        <v>55.986204663466111</v>
      </c>
      <c r="N3" s="1">
        <f t="shared" si="3"/>
        <v>600449903.54334569</v>
      </c>
    </row>
    <row r="4" spans="1:27">
      <c r="A4" s="364" t="s">
        <v>6923</v>
      </c>
      <c r="B4" s="367">
        <f>C4*D4</f>
        <v>0</v>
      </c>
      <c r="C4" s="323">
        <v>0</v>
      </c>
      <c r="D4" s="364">
        <f>D33</f>
        <v>120.4</v>
      </c>
      <c r="E4" s="364">
        <f>B4*100/$C$43</f>
        <v>0</v>
      </c>
      <c r="F4" s="11"/>
      <c r="G4" s="357" t="s">
        <v>6837</v>
      </c>
      <c r="H4" s="1">
        <f>SUM(B7:B11)</f>
        <v>1565518516</v>
      </c>
      <c r="I4">
        <f t="shared" si="0"/>
        <v>41446</v>
      </c>
      <c r="J4" s="207" t="s">
        <v>4316</v>
      </c>
      <c r="K4" s="207">
        <v>41446</v>
      </c>
      <c r="L4" s="276">
        <f t="shared" si="1"/>
        <v>200473502.93813691</v>
      </c>
      <c r="M4" s="357">
        <f t="shared" si="2"/>
        <v>0.90188894880301573</v>
      </c>
      <c r="N4" s="1">
        <f t="shared" si="3"/>
        <v>9672724.4786600526</v>
      </c>
    </row>
    <row r="5" spans="1:27">
      <c r="E5" s="535"/>
      <c r="F5" t="s">
        <v>25</v>
      </c>
      <c r="G5" s="357" t="s">
        <v>6838</v>
      </c>
      <c r="H5" s="1">
        <f>SUM(B2:B4)</f>
        <v>519382640</v>
      </c>
      <c r="I5">
        <f t="shared" si="0"/>
        <v>120081</v>
      </c>
      <c r="J5" s="207" t="s">
        <v>1005</v>
      </c>
      <c r="K5" s="207">
        <v>120081</v>
      </c>
      <c r="L5" s="276">
        <f t="shared" si="1"/>
        <v>580829481.88762283</v>
      </c>
      <c r="M5" s="357">
        <f t="shared" si="2"/>
        <v>2.6130320624720098</v>
      </c>
      <c r="N5" s="1">
        <f t="shared" si="3"/>
        <v>28024668.921535913</v>
      </c>
      <c r="T5" t="s">
        <v>25</v>
      </c>
      <c r="U5" t="s">
        <v>25</v>
      </c>
    </row>
    <row r="6" spans="1:27">
      <c r="A6" s="362" t="s">
        <v>6592</v>
      </c>
      <c r="B6" s="471">
        <v>749</v>
      </c>
      <c r="C6" s="375"/>
      <c r="D6" s="471"/>
      <c r="E6" s="364">
        <f t="shared" ref="E6:E11" si="4">B6*100/$C$43</f>
        <v>3.266489684732292E-6</v>
      </c>
      <c r="F6" s="11"/>
      <c r="G6" s="357" t="s">
        <v>4320</v>
      </c>
      <c r="H6" s="1">
        <f>B25</f>
        <v>10727410</v>
      </c>
      <c r="I6" s="381">
        <f t="shared" si="0"/>
        <v>287123</v>
      </c>
      <c r="J6" s="207" t="s">
        <v>5281</v>
      </c>
      <c r="K6" s="207">
        <v>287123</v>
      </c>
      <c r="L6" s="276">
        <f t="shared" si="1"/>
        <v>1388808415.386447</v>
      </c>
      <c r="M6" s="389">
        <f t="shared" si="2"/>
        <v>6.247962665810169</v>
      </c>
      <c r="N6" s="1">
        <f t="shared" si="3"/>
        <v>67009160.606242098</v>
      </c>
    </row>
    <row r="7" spans="1:27">
      <c r="A7" s="362" t="s">
        <v>6593</v>
      </c>
      <c r="B7" s="471">
        <f t="shared" ref="B7:B10" si="5">C7*D7</f>
        <v>1456566880</v>
      </c>
      <c r="C7" s="375">
        <v>818296</v>
      </c>
      <c r="D7" s="362">
        <f>D26</f>
        <v>1780</v>
      </c>
      <c r="E7" s="364">
        <f t="shared" si="4"/>
        <v>6.352283963474898</v>
      </c>
      <c r="F7" s="11"/>
      <c r="G7" s="357" t="s">
        <v>4321</v>
      </c>
      <c r="H7" s="1">
        <f>B19</f>
        <v>1253</v>
      </c>
      <c r="I7" s="381">
        <f t="shared" si="0"/>
        <v>94009</v>
      </c>
      <c r="J7" s="207" t="s">
        <v>6836</v>
      </c>
      <c r="K7" s="207">
        <v>94009</v>
      </c>
      <c r="L7" s="276">
        <f t="shared" si="1"/>
        <v>454719720.54507822</v>
      </c>
      <c r="M7" s="389">
        <f t="shared" si="2"/>
        <v>2.0456902520876006</v>
      </c>
      <c r="N7" s="1">
        <f t="shared" si="3"/>
        <v>21939949.705987372</v>
      </c>
      <c r="T7" t="s">
        <v>25</v>
      </c>
    </row>
    <row r="8" spans="1:27">
      <c r="A8" s="362" t="s">
        <v>6594</v>
      </c>
      <c r="B8" s="471">
        <f t="shared" si="5"/>
        <v>0</v>
      </c>
      <c r="C8" s="375">
        <v>0</v>
      </c>
      <c r="D8" s="362">
        <f>D27</f>
        <v>829.43023255813944</v>
      </c>
      <c r="E8" s="364">
        <f t="shared" si="4"/>
        <v>0</v>
      </c>
      <c r="F8" s="11"/>
      <c r="G8" s="357" t="s">
        <v>4322</v>
      </c>
      <c r="H8" s="1">
        <f>B13</f>
        <v>97428</v>
      </c>
      <c r="I8" t="s">
        <v>25</v>
      </c>
      <c r="J8" s="207"/>
      <c r="K8" s="207"/>
      <c r="L8" s="207"/>
      <c r="M8" s="357"/>
      <c r="N8" s="357" t="s">
        <v>25</v>
      </c>
      <c r="U8" t="s">
        <v>25</v>
      </c>
    </row>
    <row r="9" spans="1:27">
      <c r="A9" s="362" t="s">
        <v>7040</v>
      </c>
      <c r="B9" s="471">
        <f t="shared" si="5"/>
        <v>1020000</v>
      </c>
      <c r="C9" s="375">
        <v>2000</v>
      </c>
      <c r="D9" s="362">
        <f>'خرید و فروش نسبتی'!O24</f>
        <v>510</v>
      </c>
      <c r="E9" s="364">
        <f t="shared" si="4"/>
        <v>4.4483571140546563E-3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0.47070437336486048</v>
      </c>
      <c r="F10" s="354"/>
      <c r="G10" s="357" t="s">
        <v>6840</v>
      </c>
      <c r="H10" s="1">
        <f>B1</f>
        <v>245473</v>
      </c>
      <c r="I10" t="s">
        <v>25</v>
      </c>
      <c r="J10" s="207"/>
      <c r="K10" s="207">
        <f>K9-P513</f>
        <v>0</v>
      </c>
      <c r="L10" s="276">
        <f>SUM(L2:L7)</f>
        <v>22228180443.30233</v>
      </c>
      <c r="M10" s="357" t="s">
        <v>25</v>
      </c>
      <c r="N10" s="1">
        <v>1072496175</v>
      </c>
    </row>
    <row r="11" spans="1:27" ht="18" customHeight="1">
      <c r="A11" s="341" t="s">
        <v>6924</v>
      </c>
      <c r="B11" s="471">
        <f>C11*D11</f>
        <v>0</v>
      </c>
      <c r="C11" s="375">
        <v>0</v>
      </c>
      <c r="D11" s="362">
        <f>D33</f>
        <v>120.4</v>
      </c>
      <c r="E11" s="364">
        <f t="shared" si="4"/>
        <v>0</v>
      </c>
      <c r="F11" s="354"/>
      <c r="G11" s="357" t="s">
        <v>7031</v>
      </c>
      <c r="H11" s="1">
        <f>-F41</f>
        <v>-29200000</v>
      </c>
      <c r="I11" t="s">
        <v>25</v>
      </c>
      <c r="J11" s="207"/>
      <c r="K11" s="207" t="s">
        <v>5607</v>
      </c>
      <c r="L11" s="276">
        <f>H3+H8-L5</f>
        <v>323831906.11237717</v>
      </c>
      <c r="M11" s="357">
        <f>L11/L4</f>
        <v>1.6153352007437451</v>
      </c>
      <c r="N11" s="357" t="s">
        <v>25</v>
      </c>
      <c r="P11" t="s">
        <v>25</v>
      </c>
    </row>
    <row r="12" spans="1:27">
      <c r="A12" s="354"/>
      <c r="B12" s="355"/>
      <c r="C12" s="373"/>
      <c r="D12" s="354"/>
      <c r="E12" s="535"/>
      <c r="F12" s="205"/>
      <c r="G12" s="357" t="s">
        <v>4922</v>
      </c>
      <c r="H12" s="1">
        <v>0</v>
      </c>
      <c r="I12" t="s">
        <v>25</v>
      </c>
      <c r="J12" s="207"/>
      <c r="K12" s="207" t="s">
        <v>5606</v>
      </c>
      <c r="L12" s="276">
        <f>L4-L11</f>
        <v>-123358403.17424026</v>
      </c>
      <c r="M12" s="357">
        <f>L12/L4</f>
        <v>-0.61533520074374515</v>
      </c>
      <c r="N12" s="357"/>
      <c r="U12" t="s">
        <v>25</v>
      </c>
    </row>
    <row r="13" spans="1:27">
      <c r="A13" s="361" t="s">
        <v>4323</v>
      </c>
      <c r="B13" s="360">
        <v>97428</v>
      </c>
      <c r="C13" s="377"/>
      <c r="D13" s="361"/>
      <c r="E13" s="364">
        <f>B13*100/$C$43</f>
        <v>4.2489660481187953E-4</v>
      </c>
      <c r="F13" s="205"/>
      <c r="G13" s="357" t="s">
        <v>6773</v>
      </c>
      <c r="H13" s="1">
        <f>0</f>
        <v>0</v>
      </c>
      <c r="J13" s="207"/>
      <c r="K13" s="207" t="s">
        <v>6874</v>
      </c>
      <c r="L13" s="276">
        <f>H2+H7-L2-L12</f>
        <v>651820009.58098996</v>
      </c>
      <c r="M13" s="357">
        <f t="shared" ref="M13:M15" si="6">L13/L5</f>
        <v>1.122222665872016</v>
      </c>
      <c r="N13" s="357" t="s">
        <v>25</v>
      </c>
      <c r="T13" s="35"/>
    </row>
    <row r="14" spans="1:27" ht="34.5" customHeight="1">
      <c r="A14" s="361" t="s">
        <v>4306</v>
      </c>
      <c r="B14" s="360">
        <f>C14*D14</f>
        <v>904563960</v>
      </c>
      <c r="C14" s="377">
        <v>508182</v>
      </c>
      <c r="D14" s="361">
        <f>D26</f>
        <v>1780</v>
      </c>
      <c r="E14" s="364">
        <f>B14*100/$C$43</f>
        <v>3.944925026062208</v>
      </c>
      <c r="F14" s="205"/>
      <c r="G14" s="279" t="s">
        <v>7010</v>
      </c>
      <c r="H14" s="1">
        <f>-373268*D26</f>
        <v>-664417040</v>
      </c>
      <c r="J14" s="207"/>
      <c r="K14" s="207" t="s">
        <v>6873</v>
      </c>
      <c r="L14" s="276">
        <f>H4+H9-L6</f>
        <v>176710849.61355305</v>
      </c>
      <c r="M14" s="357">
        <f t="shared" si="6"/>
        <v>0.1272391840773674</v>
      </c>
      <c r="N14" s="11" t="s">
        <v>25</v>
      </c>
      <c r="T14" s="35"/>
    </row>
    <row r="15" spans="1:27">
      <c r="A15" s="361" t="s">
        <v>5139</v>
      </c>
      <c r="B15" s="360">
        <f>C15*D15</f>
        <v>0</v>
      </c>
      <c r="C15" s="377">
        <v>0</v>
      </c>
      <c r="D15" s="361">
        <f>D27</f>
        <v>829.43023255813944</v>
      </c>
      <c r="E15" s="364">
        <f>B15*100/$C$43</f>
        <v>0</v>
      </c>
      <c r="F15" s="205" t="s">
        <v>25</v>
      </c>
      <c r="G15" s="357" t="s">
        <v>6854</v>
      </c>
      <c r="H15" s="1">
        <f>-20908*D26</f>
        <v>-37216240</v>
      </c>
      <c r="J15" s="207"/>
      <c r="K15" s="207" t="s">
        <v>6875</v>
      </c>
      <c r="L15" s="276">
        <f>H5+H10-L7</f>
        <v>64908392.454921782</v>
      </c>
      <c r="M15" s="357">
        <f t="shared" si="6"/>
        <v>0.14274373756457115</v>
      </c>
      <c r="N15" s="11" t="s">
        <v>25</v>
      </c>
      <c r="T15" s="76"/>
    </row>
    <row r="16" spans="1:27">
      <c r="A16" s="361" t="s">
        <v>5594</v>
      </c>
      <c r="B16" s="360">
        <f>C16*D16</f>
        <v>0</v>
      </c>
      <c r="C16" s="377">
        <v>0</v>
      </c>
      <c r="D16" s="361">
        <f>D33</f>
        <v>120.4</v>
      </c>
      <c r="E16" s="364">
        <f>B16*100/$C$43</f>
        <v>0</v>
      </c>
      <c r="F16" s="205"/>
      <c r="G16" s="357"/>
      <c r="H16" s="1"/>
      <c r="K16" s="475"/>
      <c r="L16" s="475"/>
      <c r="S16" s="76"/>
      <c r="T16" s="76"/>
      <c r="U16" t="s">
        <v>25</v>
      </c>
    </row>
    <row r="17" spans="1:47">
      <c r="A17" s="361" t="s">
        <v>4542</v>
      </c>
      <c r="B17" s="360">
        <f>C17*D17</f>
        <v>0</v>
      </c>
      <c r="C17" s="377">
        <v>0</v>
      </c>
      <c r="D17" s="361">
        <f>D28</f>
        <v>510</v>
      </c>
      <c r="E17" s="364">
        <f>B17*100/$C$43</f>
        <v>0</v>
      </c>
      <c r="F17" s="205"/>
      <c r="G17" s="357" t="s">
        <v>4324</v>
      </c>
      <c r="H17" s="1">
        <f>SUM(H1:H16)</f>
        <v>22228180443.302326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1253</v>
      </c>
      <c r="C19" s="376" t="s">
        <v>857</v>
      </c>
      <c r="D19" s="365" t="s">
        <v>3843</v>
      </c>
      <c r="E19" s="364">
        <f>B19*100/$C$43</f>
        <v>5.4645014352063577E-6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7483095080</v>
      </c>
      <c r="C20" s="376">
        <v>4203986</v>
      </c>
      <c r="D20" s="365">
        <f>D26</f>
        <v>1780</v>
      </c>
      <c r="E20" s="364">
        <f>B20*100/$C$43</f>
        <v>32.634783563005293</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829.43023255813944</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120.4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204000000</v>
      </c>
      <c r="C23" s="376">
        <v>400000</v>
      </c>
      <c r="D23" s="365">
        <f>D28</f>
        <v>510</v>
      </c>
      <c r="E23" s="364">
        <f>B23*100/$C$43</f>
        <v>0.88967142281093137</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10727410</v>
      </c>
      <c r="C25" s="359"/>
      <c r="D25" s="363" t="s">
        <v>25</v>
      </c>
      <c r="E25" s="364">
        <f t="shared" ref="E25:E36" si="11">B25*100/$C$43</f>
        <v>4.6783677047922613E-2</v>
      </c>
      <c r="F25" s="205"/>
      <c r="G25" s="2" t="s">
        <v>4328</v>
      </c>
      <c r="H25" s="37">
        <f>-L13</f>
        <v>-651820009.58098996</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10924240920</v>
      </c>
      <c r="C26" s="378">
        <v>6137214</v>
      </c>
      <c r="D26" s="363">
        <f>'خرید و فروش نسبتی'!O22</f>
        <v>1780</v>
      </c>
      <c r="E26" s="364">
        <f t="shared" si="11"/>
        <v>47.642083149146067</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8294.3023255813951</v>
      </c>
      <c r="C27" s="378">
        <v>10</v>
      </c>
      <c r="D27" s="363">
        <f>'خرید و فروش نسبتی'!O23</f>
        <v>829.43023255813944</v>
      </c>
      <c r="E27" s="364">
        <f t="shared" si="11"/>
        <v>3.6172567407960866E-5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51000000</v>
      </c>
      <c r="C28" s="378">
        <v>100000</v>
      </c>
      <c r="D28" s="363">
        <f>'خرید و فروش نسبتی'!O24</f>
        <v>510</v>
      </c>
      <c r="E28" s="364">
        <f t="shared" si="11"/>
        <v>0.22241785570273284</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9660000</v>
      </c>
      <c r="C30" s="378">
        <v>5000</v>
      </c>
      <c r="D30" s="363">
        <f>'خرید و فروش نسبتی'!O18</f>
        <v>1932</v>
      </c>
      <c r="E30" s="364">
        <f t="shared" si="11"/>
        <v>4.2128558550752926E-2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564144000</v>
      </c>
      <c r="C31" s="378">
        <v>292000</v>
      </c>
      <c r="D31" s="363">
        <f>IF(D30&gt;2800,2800,D30)</f>
        <v>1932</v>
      </c>
      <c r="E31" s="364">
        <f t="shared" si="11"/>
        <v>2.4603078193639707</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1932</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6020000</v>
      </c>
      <c r="C33" s="378">
        <v>50000</v>
      </c>
      <c r="D33" s="363">
        <f>'خرید و فروش نسبتی'!O20</f>
        <v>120.4</v>
      </c>
      <c r="E33" s="364">
        <f t="shared" si="11"/>
        <v>2.6254029241773561E-2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7043</v>
      </c>
      <c r="B34" s="359">
        <f t="shared" si="12"/>
        <v>261194000</v>
      </c>
      <c r="C34" s="378">
        <v>7156000</v>
      </c>
      <c r="D34" s="363">
        <f>'خرید و فروش نسبتی'!O14</f>
        <v>36.5</v>
      </c>
      <c r="E34" s="364">
        <f t="shared" si="11"/>
        <v>1.1391021451454824</v>
      </c>
      <c r="F34" s="486"/>
      <c r="G34" s="2"/>
      <c r="H34" s="37"/>
      <c r="I34" s="368" t="s">
        <v>25</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274</v>
      </c>
      <c r="E35" s="364">
        <f t="shared" si="11"/>
        <v>0</v>
      </c>
      <c r="F35" s="486"/>
      <c r="G35" s="2"/>
      <c r="H35" s="37"/>
      <c r="I35" s="368">
        <f>H39/50580</f>
        <v>2.1550019770660338</v>
      </c>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7045</v>
      </c>
      <c r="B36" s="359">
        <f t="shared" si="12"/>
        <v>49046000</v>
      </c>
      <c r="C36" s="378">
        <v>179000</v>
      </c>
      <c r="D36" s="363">
        <f>IF(D35&gt;450,450,D35)</f>
        <v>274</v>
      </c>
      <c r="E36" s="364">
        <f t="shared" si="11"/>
        <v>0.21389619903522028</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7046</v>
      </c>
      <c r="B37" s="359">
        <f t="shared" si="12"/>
        <v>406068000</v>
      </c>
      <c r="C37" s="378">
        <v>1482000</v>
      </c>
      <c r="D37" s="363">
        <f>IF(D35&gt;550,550,D35)</f>
        <v>274</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50000</v>
      </c>
      <c r="E39" s="364">
        <f>B39*100/$C$43</f>
        <v>0</v>
      </c>
      <c r="F39" s="486" t="s">
        <v>25</v>
      </c>
      <c r="G39" s="48" t="s">
        <v>7047</v>
      </c>
      <c r="H39" s="37">
        <v>109000</v>
      </c>
      <c r="I39" s="368"/>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22929813723.302326</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c r="H44" s="37"/>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458596.27446604654</v>
      </c>
      <c r="D45" s="373">
        <f>C43/D28</f>
        <v>44960419.065298676</v>
      </c>
      <c r="E45" s="373">
        <f>C43/D26</f>
        <v>12881917.822079958</v>
      </c>
      <c r="F45" s="373">
        <f>C43/D27</f>
        <v>27645259.146850601</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500000</v>
      </c>
      <c r="E46" s="373">
        <f>C2+C7+C20+C26+C14</f>
        <v>11959466</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1.1120892785136642E-2</v>
      </c>
      <c r="E47" s="474">
        <f>E46/E45</f>
        <v>0.92839173213022286</v>
      </c>
      <c r="F47" s="474">
        <f>F46/F45</f>
        <v>3.6172567407960863E-7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4046437715.8768806</v>
      </c>
      <c r="E48" s="373">
        <f>E45*E43</f>
        <v>4315442470.3967857</v>
      </c>
      <c r="F48" s="373">
        <f>F45*F43</f>
        <v>2211620731.7480478</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40000000</v>
      </c>
      <c r="E49" s="373">
        <f>E46*E43</f>
        <v>4006421110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255000000</v>
      </c>
      <c r="E50" s="373">
        <f>E46*D26</f>
        <v>21287849480</v>
      </c>
      <c r="F50" s="373">
        <f>F46*D27</f>
        <v>8294.3023255813951</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19311899960</v>
      </c>
      <c r="K55" s="473">
        <f>I55-J55</f>
        <v>3282100040</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10826091</v>
      </c>
      <c r="K58" s="157">
        <f>I58-J58</f>
        <v>-10826091</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11959466</v>
      </c>
      <c r="C132" s="493">
        <f>B132*D26</f>
        <v>21287849480</v>
      </c>
      <c r="D132" s="536">
        <f t="shared" ref="D132:D139" si="22">C132/$C$141</f>
        <v>0.95496530484623543</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8294.3023255813951</v>
      </c>
      <c r="D133" s="536">
        <f t="shared" si="22"/>
        <v>3.7207943227319723E-7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502000</v>
      </c>
      <c r="C134" s="493">
        <f>B134*D28</f>
        <v>256020000</v>
      </c>
      <c r="D134" s="536">
        <f t="shared" si="22"/>
        <v>1.1484965523475376E-2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4.8417745424275196E-3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49046000</v>
      </c>
      <c r="D136" s="536">
        <f t="shared" si="22"/>
        <v>2.2001859974391581E-3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573804000</v>
      </c>
      <c r="D137" s="536">
        <f t="shared" si="22"/>
        <v>2.5740641970284604E-2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6020000</v>
      </c>
      <c r="D138" s="536">
        <f t="shared" si="22"/>
        <v>2.7005504433763675E-4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11072313</v>
      </c>
      <c r="C139" s="514">
        <f>B139</f>
        <v>11072313</v>
      </c>
      <c r="D139" s="536">
        <f t="shared" si="22"/>
        <v>4.9669999636797204E-4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22291751723.302326</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12282108624.302326</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12404197483.240763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12099939044.141987</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7687096333</v>
      </c>
    </row>
    <row r="516" spans="13:42">
      <c r="O516" s="143">
        <f>H17/P513</f>
        <v>4836.98072041058</v>
      </c>
      <c r="P516" s="35"/>
      <c r="Q516" s="35"/>
      <c r="R516" s="35"/>
      <c r="S516" s="35" t="s">
        <v>25</v>
      </c>
      <c r="T516" t="s">
        <v>25</v>
      </c>
      <c r="AB516" t="s">
        <v>25</v>
      </c>
      <c r="AK516" t="s">
        <v>4037</v>
      </c>
      <c r="AL516" s="7">
        <f>AL515-AL511</f>
        <v>7627084396.8358192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7522726664.6303453</v>
      </c>
      <c r="AO518" t="s">
        <v>25</v>
      </c>
      <c r="AP518" t="s">
        <v>25</v>
      </c>
    </row>
    <row r="519" spans="13:42">
      <c r="O519" s="76"/>
      <c r="P519" s="1">
        <v>6000000</v>
      </c>
      <c r="Q519" s="35">
        <f>P519/O516</f>
        <v>1240.4432324242753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22228180443.302326</v>
      </c>
      <c r="Q529" s="26">
        <f>P529-O529</f>
        <v>20125800770.602287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abSelected="1" topLeftCell="A19" zoomScale="85" zoomScaleNormal="85" workbookViewId="0">
      <selection activeCell="O19" sqref="O19"/>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104457</v>
      </c>
      <c r="E1" s="438" t="s">
        <v>4542</v>
      </c>
      <c r="F1" s="439">
        <v>530</v>
      </c>
      <c r="G1" s="498">
        <f>C1*D1*0.9912/(F1*1.003631981)</f>
        <v>400000.2907177037</v>
      </c>
      <c r="H1" s="440">
        <f>C1/F1</f>
        <v>3.8773584905660377</v>
      </c>
      <c r="I1" s="440">
        <f>$O$22/$O$24</f>
        <v>3.4901960784313726</v>
      </c>
      <c r="J1" s="440">
        <f t="shared" ref="J1" si="0">I1/H1</f>
        <v>0.90014789370736137</v>
      </c>
      <c r="K1" s="438">
        <f t="shared" ref="K1" si="1">(1/J1-1.0256)*100</f>
        <v>8.5328556285774617</v>
      </c>
      <c r="L1" s="512"/>
      <c r="M1" s="554"/>
      <c r="O1" s="561" t="s">
        <v>7033</v>
      </c>
      <c r="P1">
        <v>70</v>
      </c>
    </row>
    <row r="2" spans="1:25" ht="18.75">
      <c r="A2" s="229" t="s">
        <v>7039</v>
      </c>
      <c r="B2" s="225" t="s">
        <v>4134</v>
      </c>
      <c r="C2" s="224">
        <v>2093.3000000000002</v>
      </c>
      <c r="D2" s="302">
        <v>26100</v>
      </c>
      <c r="E2" s="438" t="s">
        <v>4542</v>
      </c>
      <c r="F2" s="439">
        <v>529</v>
      </c>
      <c r="G2" s="498">
        <f>C2*D2*0.9912/(F2*1.003631981)</f>
        <v>102000.69016856098</v>
      </c>
      <c r="H2" s="440">
        <f>C2/F2</f>
        <v>3.9570888468809078</v>
      </c>
      <c r="I2" s="440">
        <f>$O$22/$O$24</f>
        <v>3.4901960784313726</v>
      </c>
      <c r="J2" s="440">
        <f t="shared" ref="J2" si="2">I2/H2</f>
        <v>0.88201104738460612</v>
      </c>
      <c r="K2" s="438">
        <f t="shared" ref="K2" si="3">(1/J2-1.0256)*100</f>
        <v>10.817264714003528</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0.4659720407629997</v>
      </c>
      <c r="J7" s="520">
        <f t="shared" ref="J7" si="7">I7/H7</f>
        <v>1.2075315810440912</v>
      </c>
      <c r="K7" s="576">
        <f t="shared" ref="K7" si="8">(1/J7-1.0256)*100</f>
        <v>-19.746430922547741</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0.4659720407629997</v>
      </c>
      <c r="J8" s="520">
        <f t="shared" ref="J8" si="9">I8/H8</f>
        <v>1.2075315810440912</v>
      </c>
      <c r="K8" s="576">
        <f t="shared" ref="K8" si="10">(1/J8-1.0256)*100</f>
        <v>-19.746430922547741</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0.4659720407629997</v>
      </c>
      <c r="J9" s="520">
        <f t="shared" ref="J9" si="11">I9/H9</f>
        <v>1.234707940416693</v>
      </c>
      <c r="K9" s="576">
        <f t="shared" ref="K9" si="12">(1/J9-1.0256)*100</f>
        <v>-21.569186928649952</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0.4659720407629997</v>
      </c>
      <c r="J10" s="520">
        <f t="shared" ref="J10" si="13">I10/H10</f>
        <v>1.2345309890088081</v>
      </c>
      <c r="K10" s="576">
        <f t="shared" ref="K10" si="14">(1/J10-1.0256)*100</f>
        <v>-21.557578116456245</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0.4659720407629997</v>
      </c>
      <c r="J11" s="520">
        <f t="shared" ref="J11" si="15">I11/H11</f>
        <v>1.2372969718744802</v>
      </c>
      <c r="K11" s="576">
        <f t="shared" ref="K11" si="16">(1/J11-1.0256)*100</f>
        <v>-21.738659389667792</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0.4659720407629997</v>
      </c>
      <c r="J12" s="520">
        <f t="shared" ref="J12" si="17">I12/H12</f>
        <v>1.2372969718744802</v>
      </c>
      <c r="K12" s="576">
        <f t="shared" ref="K12" si="18">(1/J12-1.0256)*100</f>
        <v>-21.738659389667792</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0.4659720407629997</v>
      </c>
      <c r="J13" s="520">
        <f t="shared" ref="J13" si="19">I13/H13</f>
        <v>1.2372969718744802</v>
      </c>
      <c r="K13" s="576">
        <f t="shared" ref="K13" si="20">(1/J13-1.0256)*100</f>
        <v>-21.738659389667792</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0.4659720407629997</v>
      </c>
      <c r="J14" s="520">
        <f t="shared" ref="J14" si="21">I14/H14</f>
        <v>1.2361202748018463</v>
      </c>
      <c r="K14" s="576">
        <f t="shared" ref="K14" si="22">(1/J14-1.0256)*100</f>
        <v>-21.66172332054801</v>
      </c>
      <c r="L14" s="512"/>
      <c r="M14" s="347"/>
      <c r="N14" s="511" t="s">
        <v>7044</v>
      </c>
      <c r="O14" s="313">
        <v>36.5</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0.4659720407629997</v>
      </c>
      <c r="J15" s="520">
        <f t="shared" ref="J15" si="23">I15/H15</f>
        <v>1.1937676168830209</v>
      </c>
      <c r="K15" s="576">
        <f t="shared" ref="K15" si="24">(1/J15-1.0256)*100</f>
        <v>-18.791602712507537</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117514</v>
      </c>
      <c r="Q17" s="331">
        <v>450000</v>
      </c>
      <c r="U17">
        <v>11211</v>
      </c>
      <c r="V17">
        <f>U17*Q17/P17</f>
        <v>42930.629542012015</v>
      </c>
    </row>
    <row r="18" spans="1:28" ht="21">
      <c r="A18" s="229" t="s">
        <v>7048</v>
      </c>
      <c r="B18" s="225" t="s">
        <v>4134</v>
      </c>
      <c r="C18" s="224">
        <v>1775</v>
      </c>
      <c r="D18" s="302">
        <v>149036</v>
      </c>
      <c r="E18" s="438" t="s">
        <v>7044</v>
      </c>
      <c r="F18" s="439">
        <v>36.6</v>
      </c>
      <c r="G18" s="498">
        <f>C18*D18*0.9912/(F18*1.00115)</f>
        <v>7156004.4113204228</v>
      </c>
      <c r="H18" s="440">
        <f>C18/F18</f>
        <v>48.497267759562838</v>
      </c>
      <c r="I18" s="497">
        <f>$O$22/$O$14</f>
        <v>48.767123287671232</v>
      </c>
      <c r="J18" s="440">
        <f>I18/H18</f>
        <v>1.0055643449739533</v>
      </c>
      <c r="K18" s="441">
        <f>(1/J18-1.0152)*100</f>
        <v>-2.0733554368514873</v>
      </c>
      <c r="L18" s="512"/>
      <c r="M18" s="347"/>
      <c r="N18" s="508" t="s">
        <v>6919</v>
      </c>
      <c r="O18" s="509">
        <v>1932</v>
      </c>
      <c r="P18" s="331">
        <f>P17*Q18/Q17</f>
        <v>13057.111111111111</v>
      </c>
      <c r="Q18" s="331">
        <v>50000</v>
      </c>
      <c r="U18" s="368"/>
      <c r="V18" s="368"/>
      <c r="W18" s="535"/>
      <c r="Y18" t="s">
        <v>25</v>
      </c>
    </row>
    <row r="19" spans="1:28" ht="21">
      <c r="A19" s="229"/>
      <c r="B19" s="225"/>
      <c r="C19" s="224"/>
      <c r="D19" s="302"/>
      <c r="E19" s="438"/>
      <c r="F19" s="439"/>
      <c r="G19" s="498"/>
      <c r="H19" s="440"/>
      <c r="I19" s="497"/>
      <c r="J19" s="440"/>
      <c r="K19" s="441"/>
      <c r="L19" s="512"/>
      <c r="M19" s="347"/>
      <c r="N19" s="505" t="s">
        <v>6918</v>
      </c>
      <c r="O19" s="505">
        <v>274</v>
      </c>
      <c r="P19" s="331">
        <f>P17-P18</f>
        <v>104456.88888888889</v>
      </c>
      <c r="Q19" s="331">
        <f>Q17-Q18</f>
        <v>400000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120.4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2220.411445389143</v>
      </c>
    </row>
    <row r="22" spans="1:28" ht="21">
      <c r="A22" s="229"/>
      <c r="B22" s="225"/>
      <c r="C22" s="224"/>
      <c r="D22" s="302"/>
      <c r="E22" s="438"/>
      <c r="F22" s="439"/>
      <c r="G22" s="498"/>
      <c r="H22" s="440"/>
      <c r="I22" s="497"/>
      <c r="J22" s="440"/>
      <c r="K22" s="441"/>
      <c r="L22" s="512"/>
      <c r="M22" s="347"/>
      <c r="N22" s="303" t="s">
        <v>4134</v>
      </c>
      <c r="O22" s="551">
        <v>1780</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7026.9368183161505</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510</v>
      </c>
      <c r="Q24" t="s">
        <v>25</v>
      </c>
      <c r="S24" s="354">
        <v>238071</v>
      </c>
      <c r="T24" s="354">
        <f>S24*O24*1.003632/(O30*0.9912)</f>
        <v>7497.1982790377497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17591</v>
      </c>
      <c r="S26" s="63">
        <f>R26/0.9912</f>
        <v>17747.175141242937</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0.92132505175983437</v>
      </c>
      <c r="J34" s="565">
        <f>I34/H34</f>
        <v>0.88578394110795433</v>
      </c>
      <c r="K34" s="441">
        <f>(1/J34-1.0152)*100</f>
        <v>11.374347435242749</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8970.3551070339909</v>
      </c>
      <c r="N39" s="567">
        <f t="shared" ref="N39:N45" si="28">L39-M39</f>
        <v>163938.75673247917</v>
      </c>
      <c r="O39" s="567">
        <f t="shared" ref="O39:O42" si="29">N39*$O$18*0.99885/($O$22*1.003631981)</f>
        <v>177090.2043702174</v>
      </c>
      <c r="P39" s="440">
        <f t="shared" ref="P39:P45" si="30">O39/D39</f>
        <v>1.0919630794335622</v>
      </c>
      <c r="Q39" s="440">
        <f t="shared" ref="Q39:Q45" si="31">100*(O39-D39)/D39</f>
        <v>9.1963079433562296</v>
      </c>
      <c r="R39" s="384" t="s">
        <v>422</v>
      </c>
      <c r="S39" s="542">
        <f t="shared" ref="S39:S45" si="32">C39*D39*Q39/100</f>
        <v>32736678.59262719</v>
      </c>
      <c r="U39" s="358"/>
      <c r="V39" s="456"/>
    </row>
    <row r="40" spans="1:22" ht="23.25">
      <c r="A40" s="544" t="s">
        <v>7037</v>
      </c>
      <c r="B40" s="225" t="s">
        <v>4134</v>
      </c>
      <c r="C40" s="224">
        <v>2149</v>
      </c>
      <c r="D40" s="302">
        <v>6470</v>
      </c>
      <c r="E40" s="562" t="s">
        <v>6919</v>
      </c>
      <c r="F40" s="563">
        <v>2066.1</v>
      </c>
      <c r="G40" s="564" t="s">
        <v>7029</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367.86103526677999</v>
      </c>
      <c r="N40" s="567">
        <f t="shared" si="28"/>
        <v>6722.8866697450885</v>
      </c>
      <c r="O40" s="567">
        <f t="shared" si="29"/>
        <v>7262.2081442630424</v>
      </c>
      <c r="P40" s="440">
        <f t="shared" si="30"/>
        <v>1.1224432989587392</v>
      </c>
      <c r="Q40" s="440">
        <f t="shared" si="31"/>
        <v>12.244329895873918</v>
      </c>
      <c r="R40" s="384" t="s">
        <v>422</v>
      </c>
      <c r="S40" s="542">
        <f t="shared" si="32"/>
        <v>1702455.3020212781</v>
      </c>
      <c r="U40" s="358"/>
      <c r="V40" s="456"/>
    </row>
    <row r="41" spans="1:22" ht="18.75" customHeight="1">
      <c r="A41" s="544" t="s">
        <v>7039</v>
      </c>
      <c r="B41" s="225" t="s">
        <v>4134</v>
      </c>
      <c r="C41" s="224">
        <v>2055</v>
      </c>
      <c r="D41" s="302">
        <v>150385</v>
      </c>
      <c r="E41" s="562" t="s">
        <v>6919</v>
      </c>
      <c r="F41" s="563">
        <v>2047</v>
      </c>
      <c r="G41" s="564" t="s">
        <v>7029</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8300.6464260074372</v>
      </c>
      <c r="N41" s="567">
        <f t="shared" si="28"/>
        <v>151699.41868728295</v>
      </c>
      <c r="O41" s="567">
        <f t="shared" si="29"/>
        <v>163869.00568004479</v>
      </c>
      <c r="P41" s="440">
        <f t="shared" si="30"/>
        <v>1.0896632355623552</v>
      </c>
      <c r="Q41" s="440">
        <f t="shared" si="31"/>
        <v>8.9663235562355226</v>
      </c>
      <c r="R41" s="384" t="s">
        <v>422</v>
      </c>
      <c r="S41" s="542">
        <f t="shared" si="32"/>
        <v>27709631.672492046</v>
      </c>
      <c r="T41" s="358"/>
      <c r="U41" s="358"/>
      <c r="V41" s="456"/>
    </row>
    <row r="42" spans="1:22" ht="21.75" customHeight="1">
      <c r="A42" s="544" t="s">
        <v>7041</v>
      </c>
      <c r="B42" s="225" t="s">
        <v>4134</v>
      </c>
      <c r="C42" s="224">
        <v>2055</v>
      </c>
      <c r="D42" s="302">
        <v>6521.375</v>
      </c>
      <c r="E42" s="562" t="s">
        <v>6919</v>
      </c>
      <c r="F42" s="563">
        <v>2047</v>
      </c>
      <c r="G42" s="564" t="s">
        <v>7029</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363.14478811544285</v>
      </c>
      <c r="N42" s="567">
        <f t="shared" si="28"/>
        <v>6636.6943523610162</v>
      </c>
      <c r="O42" s="567">
        <f t="shared" si="29"/>
        <v>7169.1013316647495</v>
      </c>
      <c r="P42" s="440">
        <f t="shared" si="30"/>
        <v>1.0993235830886507</v>
      </c>
      <c r="Q42" s="440">
        <f t="shared" si="31"/>
        <v>9.9323583088650711</v>
      </c>
      <c r="R42" s="384" t="s">
        <v>422</v>
      </c>
      <c r="S42" s="542">
        <f t="shared" si="32"/>
        <v>1331077.6115710603</v>
      </c>
      <c r="V42" s="456"/>
    </row>
    <row r="43" spans="1:22" ht="23.25">
      <c r="A43" s="544" t="s">
        <v>7026</v>
      </c>
      <c r="B43" s="520" t="s">
        <v>4134</v>
      </c>
      <c r="C43" s="521">
        <v>2672.619370349943</v>
      </c>
      <c r="D43" s="522">
        <v>2705.05</v>
      </c>
      <c r="E43" s="339" t="s">
        <v>5594</v>
      </c>
      <c r="F43" s="524">
        <v>146.16900000000001</v>
      </c>
      <c r="G43" s="524" t="s">
        <v>7027</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7023</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918.98737046070096</v>
      </c>
      <c r="N44" s="523">
        <f t="shared" si="28"/>
        <v>830080.95322644373</v>
      </c>
      <c r="O44" s="523">
        <f>N44*$O$19*0.9912/($O$23*1.003631981)</f>
        <v>270818.26531074324</v>
      </c>
      <c r="P44" s="440">
        <f t="shared" si="30"/>
        <v>0.78411908457301471</v>
      </c>
      <c r="Q44" s="440">
        <f t="shared" si="31"/>
        <v>-21.588091542698528</v>
      </c>
      <c r="R44" s="384" t="s">
        <v>422</v>
      </c>
      <c r="S44" s="542">
        <f t="shared" si="32"/>
        <v>-69075897.924045637</v>
      </c>
      <c r="V44" s="456"/>
    </row>
    <row r="45" spans="1:22" ht="20.25" customHeight="1">
      <c r="A45" s="544" t="s">
        <v>7022</v>
      </c>
      <c r="B45" s="235" t="s">
        <v>5139</v>
      </c>
      <c r="C45" s="527">
        <v>917.25900000000001</v>
      </c>
      <c r="D45" s="528">
        <v>335592</v>
      </c>
      <c r="E45" s="489" t="s">
        <v>6918</v>
      </c>
      <c r="F45" s="526">
        <v>396</v>
      </c>
      <c r="G45" s="526" t="s">
        <v>7024</v>
      </c>
      <c r="H45" s="526">
        <v>28.3</v>
      </c>
      <c r="I45" s="526">
        <v>375.27300000000002</v>
      </c>
      <c r="J45" s="523">
        <f>C45*D45*0.9912/(F45*1.003631981)</f>
        <v>767706.46290384687</v>
      </c>
      <c r="K45" s="523">
        <f t="shared" si="42"/>
        <v>62293.537049278442</v>
      </c>
      <c r="L45" s="548">
        <f t="shared" si="27"/>
        <v>829999.99995312537</v>
      </c>
      <c r="M45" s="523">
        <f>L45*$O$12*1.00115/($O$19*0.9912)</f>
        <v>3671.5262188414463</v>
      </c>
      <c r="N45" s="523">
        <f t="shared" si="28"/>
        <v>826328.47373428394</v>
      </c>
      <c r="O45" s="523">
        <f>N45*$O$19*0.9912/($O$23*1.003631981)</f>
        <v>269593.99919220287</v>
      </c>
      <c r="P45" s="440">
        <f t="shared" si="30"/>
        <v>0.8033385753897675</v>
      </c>
      <c r="Q45" s="440">
        <f t="shared" si="31"/>
        <v>-19.666142461023245</v>
      </c>
      <c r="R45" s="384" t="s">
        <v>4317</v>
      </c>
      <c r="S45" s="542">
        <f t="shared" si="32"/>
        <v>-60537260.222959183</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4.4425829274672708E-2</v>
      </c>
      <c r="J54" s="332">
        <f>I54/H54</f>
        <v>1.1408940000945542</v>
      </c>
      <c r="K54" s="333">
        <f>(1/J54-1.015)*100</f>
        <v>-13.849438254813961</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8.2219101123595504</v>
      </c>
      <c r="J57" s="28">
        <f>I57/H57</f>
        <v>1.6209203227081608</v>
      </c>
      <c r="K57" s="230">
        <f t="shared" ref="K57" si="45">(1/J57-1.015)*100</f>
        <v>-39.806652955695867</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10.488764044943821</v>
      </c>
      <c r="J58" s="28">
        <f>I58/H58</f>
        <v>1.2783960896312485</v>
      </c>
      <c r="K58" s="230">
        <f t="shared" ref="K58" si="47">(1/J58-1.015)*100</f>
        <v>-23.276982258413458</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10.488764044943821</v>
      </c>
      <c r="J59" s="28">
        <f t="shared" ref="J59:J60" si="48">I59/H59</f>
        <v>1.2465359926754302</v>
      </c>
      <c r="K59" s="230">
        <f t="shared" ref="K59" si="49">(1/J59-1.015)*100</f>
        <v>-21.277687457406813</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10.488764044943821</v>
      </c>
      <c r="J60" s="28">
        <f t="shared" si="48"/>
        <v>1.225933868437237</v>
      </c>
      <c r="K60" s="230">
        <f>(1/J60-1.015)*100</f>
        <v>-19.929531498729759</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10.488764044943821</v>
      </c>
      <c r="J61" s="28">
        <f t="shared" ref="J61" si="50">I61/H61</f>
        <v>1.2011258496963182</v>
      </c>
      <c r="K61" s="230">
        <f>(1/J61-1.015)*100</f>
        <v>-18.244777389244337</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10.488764044943821</v>
      </c>
      <c r="J62" s="28">
        <f t="shared" ref="J62" si="51">I62/H62</f>
        <v>1.2011258496963182</v>
      </c>
      <c r="K62" s="230">
        <f t="shared" ref="K62" si="52">(1/J62-1.015)*100</f>
        <v>-18.244777389244337</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10.488764044943821</v>
      </c>
      <c r="J63" s="28">
        <f>I63/H63</f>
        <v>1.1384600153677833</v>
      </c>
      <c r="K63" s="230">
        <f>(1/J63-1.015)*100</f>
        <v>-13.662044647923199</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36.607843137254903</v>
      </c>
      <c r="J64" s="28">
        <f>I64/H64</f>
        <v>1.0709086593615254</v>
      </c>
      <c r="K64" s="230">
        <f>(1/J64-1.015)*100</f>
        <v>-8.1213545610697491</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36.607843137254903</v>
      </c>
      <c r="J65" s="28">
        <f>I65/H65</f>
        <v>1.0709086593615254</v>
      </c>
      <c r="K65" s="230">
        <f t="shared" ref="K65" si="53">(1/J65-1.015)*100</f>
        <v>-8.1213545610697491</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36.607843137254903</v>
      </c>
      <c r="J66" s="28">
        <f>I66/H66</f>
        <v>1.0278355957767724</v>
      </c>
      <c r="K66" s="230">
        <f>(1/J66-1.015)*100</f>
        <v>-4.2081758883565357</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36.607843137254903</v>
      </c>
      <c r="J67" s="28">
        <f>I67/H67</f>
        <v>0.9754865676840685</v>
      </c>
      <c r="K67" s="230">
        <f>(1/J67-1.015)*100</f>
        <v>1.0129441171219389</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36.607843137254903</v>
      </c>
      <c r="J68" s="28">
        <f t="shared" ref="J68" si="54">I68/H68</f>
        <v>0.95037071882942714</v>
      </c>
      <c r="K68" s="230">
        <f t="shared" ref="K68" si="55">(1/J68-1.015)*100</f>
        <v>3.7220970393218034</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22.509427878482008</v>
      </c>
      <c r="J69" s="28">
        <f t="shared" ref="J69:J78" si="57">I69/H69</f>
        <v>0.80363857488950163</v>
      </c>
      <c r="K69" s="230">
        <f t="shared" ref="K69:K73" si="58">(1/J69-1.015)*100</f>
        <v>22.934046752608616</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22.509427878482008</v>
      </c>
      <c r="J70" s="28">
        <f t="shared" si="57"/>
        <v>0.78889907638013157</v>
      </c>
      <c r="K70" s="230">
        <f t="shared" si="58"/>
        <v>25.258926450834053</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22.509427878482008</v>
      </c>
      <c r="J71" s="357">
        <f t="shared" si="57"/>
        <v>0.77088031416298097</v>
      </c>
      <c r="K71" s="371">
        <f t="shared" si="58"/>
        <v>28.221823430631577</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22.509427878482008</v>
      </c>
      <c r="J72" s="28">
        <f t="shared" si="57"/>
        <v>0.75228453162747222</v>
      </c>
      <c r="K72" s="230">
        <f t="shared" si="58"/>
        <v>31.428427736859987</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22.509427878482008</v>
      </c>
      <c r="J73" s="28">
        <f t="shared" si="57"/>
        <v>0.73931258721113924</v>
      </c>
      <c r="K73" s="230">
        <f t="shared" si="58"/>
        <v>33.760783773780311</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22.509427878482008</v>
      </c>
      <c r="J74" s="357">
        <f t="shared" ref="J74" si="59">I74/H74</f>
        <v>0.81614712460040928</v>
      </c>
      <c r="K74" s="371">
        <f t="shared" ref="K74" si="60">(1/J74-1.015)*100</f>
        <v>21.02692803268851</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22.509427878482008</v>
      </c>
      <c r="J75" s="357">
        <f t="shared" ref="J75" si="61">I75/H75</f>
        <v>0.8135213095235998</v>
      </c>
      <c r="K75" s="371">
        <f t="shared" ref="K75" si="62">(1/J75-1.015)*100</f>
        <v>21.42241005777743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22.509427878482008</v>
      </c>
      <c r="J76" s="357">
        <f t="shared" ref="J76:J77" si="63">I76/H76</f>
        <v>0.81911475025308256</v>
      </c>
      <c r="K76" s="371">
        <f t="shared" ref="K76:K77" si="64">(1/J76-1.015)*100</f>
        <v>20.583017024297167</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22.509427878482008</v>
      </c>
      <c r="J77" s="357">
        <f t="shared" si="63"/>
        <v>0.81642569946632892</v>
      </c>
      <c r="K77" s="371">
        <f t="shared" si="64"/>
        <v>20.985120281449699</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1.53184165232358</v>
      </c>
      <c r="J81" s="315">
        <f>I81/H81</f>
        <v>1.0060872824469904</v>
      </c>
      <c r="K81" s="316">
        <f>(1/J81-1.0256)*100</f>
        <v>-3.1650451638932431</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2.146051506357685</v>
      </c>
      <c r="J84" s="227">
        <f>I84/H84</f>
        <v>0.79073482534820272</v>
      </c>
      <c r="K84" s="227">
        <f>(1/J84-1.0256)*100</f>
        <v>23.904646293989472</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2.146051506357685</v>
      </c>
      <c r="J85" s="227">
        <f>I85/H85</f>
        <v>0.79019024213515299</v>
      </c>
      <c r="K85" s="227">
        <f>(1/J85-1.0256)*100</f>
        <v>23.991803183234129</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2.146051506357685</v>
      </c>
      <c r="J86" s="227">
        <f t="shared" ref="J86:J102" si="68">I86/H86</f>
        <v>0.78964640852046941</v>
      </c>
      <c r="K86" s="227">
        <f t="shared" ref="K86:K102" si="69">(1/J86-1.0256)*100</f>
        <v>24.078960072478782</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2.146051506357685</v>
      </c>
      <c r="J87" s="227">
        <f t="shared" si="68"/>
        <v>0.7891033229575255</v>
      </c>
      <c r="K87" s="227">
        <f t="shared" si="69"/>
        <v>24.166116961723439</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2.146051506357685</v>
      </c>
      <c r="J88" s="227">
        <f t="shared" si="68"/>
        <v>0.78856098390394636</v>
      </c>
      <c r="K88" s="227">
        <f t="shared" si="69"/>
        <v>24.253273850968093</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2.146051506357685</v>
      </c>
      <c r="J89" s="227">
        <f t="shared" si="68"/>
        <v>0.78801938982159481</v>
      </c>
      <c r="K89" s="227">
        <f t="shared" si="69"/>
        <v>24.340430740212749</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2.146051506357685</v>
      </c>
      <c r="J90" s="227">
        <f t="shared" si="68"/>
        <v>0.78747853917655597</v>
      </c>
      <c r="K90" s="227">
        <f t="shared" si="69"/>
        <v>24.427587629457381</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2.146051506357685</v>
      </c>
      <c r="J91" s="227">
        <f t="shared" si="68"/>
        <v>0.78693843043912348</v>
      </c>
      <c r="K91" s="227">
        <f t="shared" si="69"/>
        <v>24.514744518702038</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2.146051506357685</v>
      </c>
      <c r="J92" s="227">
        <f t="shared" si="68"/>
        <v>0.78689066514844841</v>
      </c>
      <c r="K92" s="227">
        <f t="shared" si="69"/>
        <v>24.522458121592795</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2.146051506357685</v>
      </c>
      <c r="J93" s="227">
        <f t="shared" si="68"/>
        <v>0.78639906208378485</v>
      </c>
      <c r="K93" s="227">
        <f t="shared" si="69"/>
        <v>24.601901407946691</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2.146051506357685</v>
      </c>
      <c r="J94" s="227">
        <f t="shared" si="68"/>
        <v>0.78635609268571172</v>
      </c>
      <c r="K94" s="227">
        <f t="shared" si="69"/>
        <v>24.608850003388572</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2.146051506357685</v>
      </c>
      <c r="J95" s="227">
        <f t="shared" si="68"/>
        <v>0.78586043258920679</v>
      </c>
      <c r="K95" s="227">
        <f t="shared" si="69"/>
        <v>24.689058297191369</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2.146051506357685</v>
      </c>
      <c r="J96" s="227">
        <f t="shared" si="68"/>
        <v>0.78582224605116613</v>
      </c>
      <c r="K96" s="227">
        <f t="shared" si="69"/>
        <v>24.695241885184348</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2.146051506357685</v>
      </c>
      <c r="J97" s="227">
        <f t="shared" si="68"/>
        <v>0.78532254043822181</v>
      </c>
      <c r="K97" s="227">
        <f t="shared" si="69"/>
        <v>24.776215186436001</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2.146051506357685</v>
      </c>
      <c r="J98" s="227">
        <f t="shared" si="68"/>
        <v>0.78478538411781262</v>
      </c>
      <c r="K98" s="227">
        <f t="shared" si="69"/>
        <v>24.863372075680658</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2.146051506357685</v>
      </c>
      <c r="J99" s="227">
        <f t="shared" si="68"/>
        <v>0.78528912376754945</v>
      </c>
      <c r="K99" s="227">
        <f t="shared" si="69"/>
        <v>24.781633766980104</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2.146051506357685</v>
      </c>
      <c r="J100" s="227">
        <f t="shared" si="68"/>
        <v>0.78424896211909911</v>
      </c>
      <c r="K100" s="227">
        <f t="shared" si="69"/>
        <v>24.950528964925311</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2.146051506357685</v>
      </c>
      <c r="J101" s="227">
        <f t="shared" si="68"/>
        <v>0.78475672436160526</v>
      </c>
      <c r="K101" s="227">
        <f t="shared" si="69"/>
        <v>24.868025648775905</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2.146051506357685</v>
      </c>
      <c r="J102" s="227">
        <f t="shared" si="68"/>
        <v>0.78371327293732385</v>
      </c>
      <c r="K102" s="227">
        <f t="shared" si="69"/>
        <v>25.037685854169943</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2.146051506357685</v>
      </c>
      <c r="J103" s="227">
        <f>I103/H103</f>
        <v>0.78317831507183744</v>
      </c>
      <c r="K103" s="227">
        <f>(1/J103-1.0256)*100</f>
        <v>25.124842743414622</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2.146051506357685</v>
      </c>
      <c r="J104" s="227">
        <f>I104/H104</f>
        <v>0.77374961483247851</v>
      </c>
      <c r="K104" s="227">
        <f>(1/J104-1.0256)*100</f>
        <v>26.680775159094082</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2.146051506357685</v>
      </c>
      <c r="J105" s="227">
        <f>I105/H105</f>
        <v>0.77112030410002075</v>
      </c>
      <c r="K105" s="227">
        <f>(1/J105-1.0256)*100</f>
        <v>27.121451089153471</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2.146051506357685</v>
      </c>
      <c r="J106" s="227">
        <f t="shared" ref="J106:J112" si="70">I106/H106</f>
        <v>0.76622257457503806</v>
      </c>
      <c r="K106" s="227">
        <f t="shared" ref="K106:K112" si="71">(1/J106-1.0256)*100</f>
        <v>27.950380819126796</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2.146051506357685</v>
      </c>
      <c r="J107" s="227">
        <f t="shared" si="70"/>
        <v>0.76122140037586117</v>
      </c>
      <c r="K107" s="227">
        <f t="shared" si="71"/>
        <v>28.807825379874942</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2.146051506357685</v>
      </c>
      <c r="J108" s="227">
        <f t="shared" si="70"/>
        <v>0.7572090508042757</v>
      </c>
      <c r="K108" s="227">
        <f t="shared" si="71"/>
        <v>29.503925931397923</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2.146051506357685</v>
      </c>
      <c r="J109" s="227">
        <f>I109/H109</f>
        <v>0.74848375652267685</v>
      </c>
      <c r="K109" s="227">
        <f>(1/J109-1.0256)*100</f>
        <v>31.043433780022568</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2.146051506357685</v>
      </c>
      <c r="J110" s="227">
        <f>I110/H110</f>
        <v>0.74674740906948245</v>
      </c>
      <c r="K110" s="227">
        <f>(1/J110-1.0256)*100</f>
        <v>31.354090340948627</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2.146051506357685</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120.6</v>
      </c>
      <c r="C20" s="354">
        <v>86.5</v>
      </c>
      <c r="D20" s="354">
        <v>36.4</v>
      </c>
      <c r="E20" s="474">
        <f>C20/(B20-D20)-1</f>
        <v>2.7315914489311366E-2</v>
      </c>
      <c r="F20" s="401">
        <f>E20/4.42</f>
        <v>6.1800711514279107E-3</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1820</v>
      </c>
      <c r="C24" s="354">
        <v>2800</v>
      </c>
      <c r="D24" s="354">
        <v>250</v>
      </c>
      <c r="E24" s="474">
        <f t="shared" si="25"/>
        <v>0.78343949044585992</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1780</v>
      </c>
      <c r="H4" s="37">
        <f>C4*G4</f>
        <v>525100000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1780</v>
      </c>
      <c r="H19" s="37">
        <f>C19*G19</f>
        <v>23026080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2023-07-24T14:40:41Z</dcterms:modified>
</cp:coreProperties>
</file>